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lvin\Downloads\"/>
    </mc:Choice>
  </mc:AlternateContent>
  <bookViews>
    <workbookView xWindow="0" yWindow="0" windowWidth="20490" windowHeight="7620" firstSheet="7" activeTab="7"/>
  </bookViews>
  <sheets>
    <sheet name="SRE-REPORT-MUN" sheetId="1" state="hidden" r:id="rId1"/>
    <sheet name="SRE-REPORT-BRGY" sheetId="4" state="hidden" r:id="rId2"/>
    <sheet name="SUMM-EXP" sheetId="3" state="hidden" r:id="rId3"/>
    <sheet name="LDF" sheetId="5" state="hidden" r:id="rId4"/>
    <sheet name="DRRMC" sheetId="6" state="hidden" r:id="rId5"/>
    <sheet name="CHILDPROTECT" sheetId="8" state="hidden" r:id="rId6"/>
    <sheet name="expense" sheetId="7" state="hidden" r:id="rId7"/>
    <sheet name="Form 1a" sheetId="9" r:id="rId8"/>
    <sheet name="Form 1b" sheetId="2" r:id="rId9"/>
  </sheets>
  <definedNames>
    <definedName name="_xlnm.Print_Titles" localSheetId="8">'Form 1b'!$2:$7</definedName>
  </definedNames>
  <calcPr calcId="162913" fullCalcOnLoad="1"/>
</workbook>
</file>

<file path=xl/calcChain.xml><?xml version="1.0" encoding="utf-8"?>
<calcChain xmlns="http://schemas.openxmlformats.org/spreadsheetml/2006/main">
  <c r="G944" i="9" l="1"/>
  <c r="G949" i="9"/>
  <c r="E944" i="9"/>
  <c r="D944" i="9"/>
  <c r="C944" i="9"/>
  <c r="C949" i="9"/>
  <c r="F943" i="9"/>
  <c r="F942" i="9"/>
  <c r="F944" i="9" s="1"/>
  <c r="F941" i="9"/>
  <c r="F940" i="9"/>
  <c r="F915" i="9"/>
  <c r="G911" i="9"/>
  <c r="G917" i="9" s="1"/>
  <c r="E911" i="9"/>
  <c r="D911" i="9"/>
  <c r="C911" i="9"/>
  <c r="F910" i="9"/>
  <c r="F909" i="9"/>
  <c r="F908" i="9"/>
  <c r="F907" i="9"/>
  <c r="F906" i="9"/>
  <c r="F911" i="9" s="1"/>
  <c r="G890" i="9"/>
  <c r="E890" i="9"/>
  <c r="D890" i="9"/>
  <c r="C890" i="9"/>
  <c r="C917" i="9" s="1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90" i="9" s="1"/>
  <c r="F917" i="9" s="1"/>
  <c r="F869" i="9"/>
  <c r="F841" i="9"/>
  <c r="G837" i="9"/>
  <c r="E837" i="9"/>
  <c r="E843" i="9" s="1"/>
  <c r="D837" i="9"/>
  <c r="C837" i="9"/>
  <c r="F835" i="9"/>
  <c r="F834" i="9"/>
  <c r="F837" i="9" s="1"/>
  <c r="F833" i="9"/>
  <c r="F832" i="9"/>
  <c r="G815" i="9"/>
  <c r="G843" i="9"/>
  <c r="E815" i="9"/>
  <c r="D815" i="9"/>
  <c r="C815" i="9"/>
  <c r="C843" i="9" s="1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815" i="9" s="1"/>
  <c r="F799" i="9"/>
  <c r="F798" i="9"/>
  <c r="F797" i="9"/>
  <c r="F772" i="9"/>
  <c r="G768" i="9"/>
  <c r="E768" i="9"/>
  <c r="D768" i="9"/>
  <c r="C768" i="9"/>
  <c r="C774" i="9" s="1"/>
  <c r="F765" i="9"/>
  <c r="F764" i="9"/>
  <c r="F763" i="9"/>
  <c r="F762" i="9"/>
  <c r="F768" i="9" s="1"/>
  <c r="F774" i="9" s="1"/>
  <c r="G748" i="9"/>
  <c r="G774" i="9"/>
  <c r="E748" i="9"/>
  <c r="E774" i="9"/>
  <c r="D748" i="9"/>
  <c r="C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48" i="9"/>
  <c r="F700" i="9"/>
  <c r="G696" i="9"/>
  <c r="E696" i="9"/>
  <c r="D696" i="9"/>
  <c r="D702" i="9" s="1"/>
  <c r="C696" i="9"/>
  <c r="F695" i="9"/>
  <c r="F694" i="9"/>
  <c r="F693" i="9"/>
  <c r="F696" i="9" s="1"/>
  <c r="F692" i="9"/>
  <c r="F691" i="9"/>
  <c r="G673" i="9"/>
  <c r="E673" i="9"/>
  <c r="E702" i="9" s="1"/>
  <c r="D673" i="9"/>
  <c r="C673" i="9"/>
  <c r="C702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73" i="9" s="1"/>
  <c r="F702" i="9" s="1"/>
  <c r="F656" i="9"/>
  <c r="F655" i="9"/>
  <c r="G630" i="9"/>
  <c r="F630" i="9"/>
  <c r="E630" i="9"/>
  <c r="D630" i="9"/>
  <c r="C630" i="9"/>
  <c r="G626" i="9"/>
  <c r="E626" i="9"/>
  <c r="D626" i="9"/>
  <c r="C626" i="9"/>
  <c r="F625" i="9"/>
  <c r="F624" i="9"/>
  <c r="F623" i="9"/>
  <c r="F622" i="9"/>
  <c r="F626" i="9" s="1"/>
  <c r="F621" i="9"/>
  <c r="F620" i="9"/>
  <c r="G603" i="9"/>
  <c r="G632" i="9"/>
  <c r="E603" i="9"/>
  <c r="D603" i="9"/>
  <c r="C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603" i="9" s="1"/>
  <c r="F585" i="9"/>
  <c r="G559" i="9"/>
  <c r="F559" i="9"/>
  <c r="C559" i="9"/>
  <c r="G553" i="9"/>
  <c r="E553" i="9"/>
  <c r="D553" i="9"/>
  <c r="C553" i="9"/>
  <c r="C561" i="9" s="1"/>
  <c r="F552" i="9"/>
  <c r="F551" i="9"/>
  <c r="F550" i="9"/>
  <c r="F549" i="9"/>
  <c r="F548" i="9"/>
  <c r="G531" i="9"/>
  <c r="G561" i="9"/>
  <c r="E531" i="9"/>
  <c r="E561" i="9" s="1"/>
  <c r="D531" i="9"/>
  <c r="D561" i="9"/>
  <c r="C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31" i="9" s="1"/>
  <c r="F513" i="9"/>
  <c r="G488" i="9"/>
  <c r="F488" i="9"/>
  <c r="C488" i="9"/>
  <c r="G482" i="9"/>
  <c r="E482" i="9"/>
  <c r="D482" i="9"/>
  <c r="D490" i="9" s="1"/>
  <c r="C482" i="9"/>
  <c r="F481" i="9"/>
  <c r="F480" i="9"/>
  <c r="F479" i="9"/>
  <c r="F482" i="9" s="1"/>
  <c r="F478" i="9"/>
  <c r="F477" i="9"/>
  <c r="G461" i="9"/>
  <c r="G490" i="9"/>
  <c r="E461" i="9"/>
  <c r="D461" i="9"/>
  <c r="C461" i="9"/>
  <c r="C490" i="9" s="1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61" i="9" s="1"/>
  <c r="F444" i="9"/>
  <c r="F443" i="9"/>
  <c r="F417" i="9"/>
  <c r="C417" i="9"/>
  <c r="G413" i="9"/>
  <c r="E413" i="9"/>
  <c r="D413" i="9"/>
  <c r="C413" i="9"/>
  <c r="F412" i="9"/>
  <c r="F411" i="9"/>
  <c r="F410" i="9"/>
  <c r="F409" i="9"/>
  <c r="F413" i="9" s="1"/>
  <c r="F408" i="9"/>
  <c r="G389" i="9"/>
  <c r="E389" i="9"/>
  <c r="E419" i="9" s="1"/>
  <c r="D389" i="9"/>
  <c r="C389" i="9"/>
  <c r="C41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89" i="9" s="1"/>
  <c r="F419" i="9" s="1"/>
  <c r="F372" i="9"/>
  <c r="F371" i="9"/>
  <c r="G346" i="9"/>
  <c r="F346" i="9"/>
  <c r="C346" i="9"/>
  <c r="G342" i="9"/>
  <c r="E342" i="9"/>
  <c r="D342" i="9"/>
  <c r="C342" i="9"/>
  <c r="F341" i="9"/>
  <c r="F340" i="9"/>
  <c r="F339" i="9"/>
  <c r="F338" i="9"/>
  <c r="F337" i="9"/>
  <c r="F336" i="9"/>
  <c r="F335" i="9"/>
  <c r="F342" i="9" s="1"/>
  <c r="G319" i="9"/>
  <c r="E319" i="9"/>
  <c r="E348" i="9"/>
  <c r="D319" i="9"/>
  <c r="D348" i="9" s="1"/>
  <c r="C319" i="9"/>
  <c r="C348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19" i="9" s="1"/>
  <c r="F348" i="9" s="1"/>
  <c r="F300" i="9"/>
  <c r="G281" i="9"/>
  <c r="F281" i="9"/>
  <c r="C281" i="9"/>
  <c r="G277" i="9"/>
  <c r="E277" i="9"/>
  <c r="D277" i="9"/>
  <c r="C277" i="9"/>
  <c r="C282" i="9" s="1"/>
  <c r="F276" i="9"/>
  <c r="F275" i="9"/>
  <c r="F274" i="9"/>
  <c r="F273" i="9"/>
  <c r="F272" i="9"/>
  <c r="F271" i="9"/>
  <c r="F270" i="9"/>
  <c r="F269" i="9"/>
  <c r="F268" i="9"/>
  <c r="F267" i="9"/>
  <c r="F266" i="9"/>
  <c r="G249" i="9"/>
  <c r="G282" i="9" s="1"/>
  <c r="E249" i="9"/>
  <c r="D249" i="9"/>
  <c r="D282" i="9"/>
  <c r="C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49" i="9" s="1"/>
  <c r="F204" i="9"/>
  <c r="G200" i="9"/>
  <c r="E200" i="9"/>
  <c r="D200" i="9"/>
  <c r="C200" i="9"/>
  <c r="F199" i="9"/>
  <c r="F198" i="9"/>
  <c r="F197" i="9"/>
  <c r="F196" i="9"/>
  <c r="F195" i="9"/>
  <c r="G176" i="9"/>
  <c r="G206" i="9" s="1"/>
  <c r="E176" i="9"/>
  <c r="D176" i="9"/>
  <c r="C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76" i="9" s="1"/>
  <c r="F158" i="9"/>
  <c r="G132" i="9"/>
  <c r="E132" i="9"/>
  <c r="D132" i="9"/>
  <c r="C132" i="9"/>
  <c r="F130" i="9"/>
  <c r="F129" i="9"/>
  <c r="F128" i="9"/>
  <c r="F132" i="9" s="1"/>
  <c r="G125" i="9"/>
  <c r="E125" i="9"/>
  <c r="D125" i="9"/>
  <c r="C125" i="9"/>
  <c r="F124" i="9"/>
  <c r="F123" i="9"/>
  <c r="F122" i="9"/>
  <c r="F121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125" i="9" s="1"/>
  <c r="G34" i="9"/>
  <c r="E34" i="9"/>
  <c r="D34" i="9"/>
  <c r="C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34" i="9" s="1"/>
  <c r="F13" i="9"/>
  <c r="F12" i="9"/>
  <c r="F200" i="9"/>
  <c r="F206" i="9" s="1"/>
  <c r="D917" i="9"/>
  <c r="E282" i="9"/>
  <c r="G348" i="9"/>
  <c r="D419" i="9"/>
  <c r="G419" i="9"/>
  <c r="E490" i="9"/>
  <c r="F553" i="9"/>
  <c r="G702" i="9"/>
  <c r="D206" i="9"/>
  <c r="D632" i="9"/>
  <c r="D843" i="9"/>
  <c r="C206" i="9"/>
  <c r="E206" i="9"/>
  <c r="F632" i="9"/>
  <c r="E632" i="9"/>
  <c r="D774" i="9"/>
  <c r="E917" i="9"/>
  <c r="F949" i="9"/>
  <c r="D134" i="9"/>
  <c r="G134" i="9"/>
  <c r="E134" i="9"/>
  <c r="F843" i="9"/>
  <c r="O135" i="2"/>
  <c r="O114" i="2"/>
  <c r="O115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71" i="2"/>
  <c r="O172" i="2"/>
  <c r="O173" i="2"/>
  <c r="O174" i="2"/>
  <c r="O175" i="2"/>
  <c r="O176" i="2"/>
  <c r="O177" i="2"/>
  <c r="O170" i="2"/>
  <c r="O169" i="2"/>
  <c r="O168" i="2"/>
  <c r="O167" i="2"/>
  <c r="O166" i="2"/>
  <c r="O165" i="2"/>
  <c r="O144" i="2"/>
  <c r="O143" i="2"/>
  <c r="O142" i="2"/>
  <c r="O141" i="2"/>
  <c r="O140" i="2"/>
  <c r="O139" i="2"/>
  <c r="O138" i="2"/>
  <c r="O137" i="2"/>
  <c r="O136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3" i="2"/>
  <c r="O109" i="2"/>
  <c r="O110" i="2"/>
  <c r="O90" i="2"/>
  <c r="O91" i="2"/>
  <c r="O92" i="2"/>
  <c r="O163" i="2" s="1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89" i="2"/>
  <c r="G14" i="2"/>
  <c r="G13" i="2"/>
  <c r="H13" i="2"/>
  <c r="N13" i="2" s="1"/>
  <c r="H12" i="2"/>
  <c r="O87" i="2"/>
  <c r="O54" i="2"/>
  <c r="O58" i="2"/>
  <c r="O61" i="2" s="1"/>
  <c r="P135" i="2"/>
  <c r="G123" i="2"/>
  <c r="Q170" i="2"/>
  <c r="P174" i="2"/>
  <c r="P93" i="2"/>
  <c r="F102" i="2"/>
  <c r="G102" i="2"/>
  <c r="H102" i="2" s="1"/>
  <c r="G168" i="2"/>
  <c r="F179" i="2"/>
  <c r="P65" i="2"/>
  <c r="G65" i="2" s="1"/>
  <c r="H65" i="2" s="1"/>
  <c r="N65" i="2" s="1"/>
  <c r="P109" i="2"/>
  <c r="P86" i="2"/>
  <c r="P84" i="2"/>
  <c r="G84" i="2"/>
  <c r="H84" i="2" s="1"/>
  <c r="P69" i="2"/>
  <c r="P68" i="2"/>
  <c r="Q68" i="2"/>
  <c r="P77" i="2"/>
  <c r="G77" i="2"/>
  <c r="H77" i="2"/>
  <c r="P83" i="2"/>
  <c r="G83" i="2" s="1"/>
  <c r="H83" i="2" s="1"/>
  <c r="K83" i="2" s="1"/>
  <c r="P82" i="2"/>
  <c r="G82" i="2"/>
  <c r="H82" i="2"/>
  <c r="P81" i="2"/>
  <c r="P79" i="2"/>
  <c r="G79" i="2"/>
  <c r="H79" i="2"/>
  <c r="P73" i="2"/>
  <c r="G73" i="2" s="1"/>
  <c r="H73" i="2" s="1"/>
  <c r="N73" i="2" s="1"/>
  <c r="P179" i="2"/>
  <c r="G179" i="2"/>
  <c r="H179" i="2"/>
  <c r="N179" i="2"/>
  <c r="P136" i="2"/>
  <c r="P170" i="2"/>
  <c r="P180" i="2"/>
  <c r="P203" i="2"/>
  <c r="P116" i="2"/>
  <c r="P101" i="2"/>
  <c r="G101" i="2"/>
  <c r="H101" i="2"/>
  <c r="P129" i="2"/>
  <c r="P105" i="2"/>
  <c r="G105" i="2"/>
  <c r="H105" i="2"/>
  <c r="P89" i="2"/>
  <c r="P113" i="2"/>
  <c r="G113" i="2"/>
  <c r="H113" i="2"/>
  <c r="P95" i="2"/>
  <c r="G95" i="2"/>
  <c r="H95" i="2"/>
  <c r="P91" i="2"/>
  <c r="G91" i="2" s="1"/>
  <c r="P97" i="2"/>
  <c r="P134" i="2"/>
  <c r="G134" i="2"/>
  <c r="H134" i="2" s="1"/>
  <c r="K134" i="2" s="1"/>
  <c r="P92" i="2"/>
  <c r="G99" i="2"/>
  <c r="H99" i="2"/>
  <c r="P130" i="2"/>
  <c r="G130" i="2"/>
  <c r="H130" i="2"/>
  <c r="P117" i="2"/>
  <c r="G117" i="2" s="1"/>
  <c r="H117" i="2" s="1"/>
  <c r="P128" i="2"/>
  <c r="P106" i="2"/>
  <c r="G106" i="2" s="1"/>
  <c r="H106" i="2" s="1"/>
  <c r="N106" i="2" s="1"/>
  <c r="P107" i="2"/>
  <c r="G107" i="2" s="1"/>
  <c r="P118" i="2"/>
  <c r="G118" i="2"/>
  <c r="H118" i="2"/>
  <c r="P132" i="2"/>
  <c r="G132" i="2" s="1"/>
  <c r="P119" i="2"/>
  <c r="G119" i="2"/>
  <c r="H119" i="2"/>
  <c r="P20" i="2"/>
  <c r="P54" i="2" s="1"/>
  <c r="P58" i="2" s="1"/>
  <c r="P61" i="2" s="1"/>
  <c r="Q175" i="2"/>
  <c r="G172" i="2"/>
  <c r="H172" i="2"/>
  <c r="H168" i="2"/>
  <c r="G171" i="2"/>
  <c r="H171" i="2" s="1"/>
  <c r="P196" i="2"/>
  <c r="G189" i="2"/>
  <c r="G188" i="2"/>
  <c r="H188" i="2" s="1"/>
  <c r="G187" i="2"/>
  <c r="H187" i="2"/>
  <c r="G186" i="2"/>
  <c r="H186" i="2" s="1"/>
  <c r="N186" i="2" s="1"/>
  <c r="G185" i="2"/>
  <c r="G184" i="2"/>
  <c r="H184" i="2" s="1"/>
  <c r="G183" i="2"/>
  <c r="G182" i="2"/>
  <c r="H182" i="2"/>
  <c r="G180" i="2"/>
  <c r="G178" i="2"/>
  <c r="H178" i="2"/>
  <c r="G176" i="2"/>
  <c r="H176" i="2" s="1"/>
  <c r="G175" i="2"/>
  <c r="H175" i="2"/>
  <c r="H169" i="2"/>
  <c r="N169" i="2" s="1"/>
  <c r="G167" i="2"/>
  <c r="H167" i="2"/>
  <c r="G166" i="2"/>
  <c r="G165" i="2"/>
  <c r="H165" i="2" s="1"/>
  <c r="K165" i="2" s="1"/>
  <c r="G133" i="2"/>
  <c r="H133" i="2"/>
  <c r="H135" i="2"/>
  <c r="G115" i="2"/>
  <c r="H115" i="2"/>
  <c r="G147" i="2"/>
  <c r="H147" i="2"/>
  <c r="N147" i="2" s="1"/>
  <c r="G146" i="2"/>
  <c r="H146" i="2"/>
  <c r="G144" i="2"/>
  <c r="H144" i="2"/>
  <c r="K144" i="2" s="1"/>
  <c r="G143" i="2"/>
  <c r="H143" i="2"/>
  <c r="G142" i="2"/>
  <c r="H142" i="2"/>
  <c r="N142" i="2" s="1"/>
  <c r="G141" i="2"/>
  <c r="H141" i="2"/>
  <c r="G140" i="2"/>
  <c r="H140" i="2"/>
  <c r="K140" i="2" s="1"/>
  <c r="G139" i="2"/>
  <c r="H139" i="2"/>
  <c r="N139" i="2"/>
  <c r="H138" i="2"/>
  <c r="G137" i="2"/>
  <c r="H137" i="2"/>
  <c r="G136" i="2"/>
  <c r="H136" i="2" s="1"/>
  <c r="N136" i="2" s="1"/>
  <c r="H132" i="2"/>
  <c r="G131" i="2"/>
  <c r="H131" i="2"/>
  <c r="N131" i="2"/>
  <c r="G128" i="2"/>
  <c r="H128" i="2" s="1"/>
  <c r="N128" i="2" s="1"/>
  <c r="G127" i="2"/>
  <c r="H127" i="2"/>
  <c r="G126" i="2"/>
  <c r="H126" i="2" s="1"/>
  <c r="K126" i="2" s="1"/>
  <c r="G125" i="2"/>
  <c r="H125" i="2"/>
  <c r="G122" i="2"/>
  <c r="H122" i="2"/>
  <c r="G121" i="2"/>
  <c r="G116" i="2"/>
  <c r="H116" i="2" s="1"/>
  <c r="K116" i="2" s="1"/>
  <c r="G109" i="2"/>
  <c r="H109" i="2"/>
  <c r="N109" i="2"/>
  <c r="G108" i="2"/>
  <c r="H108" i="2"/>
  <c r="H107" i="2"/>
  <c r="G104" i="2"/>
  <c r="G103" i="2"/>
  <c r="H103" i="2"/>
  <c r="G100" i="2"/>
  <c r="H100" i="2" s="1"/>
  <c r="G98" i="2"/>
  <c r="H98" i="2"/>
  <c r="G97" i="2"/>
  <c r="H97" i="2" s="1"/>
  <c r="G96" i="2"/>
  <c r="G94" i="2"/>
  <c r="H94" i="2"/>
  <c r="K94" i="2" s="1"/>
  <c r="G93" i="2"/>
  <c r="H93" i="2"/>
  <c r="G92" i="2"/>
  <c r="G90" i="2"/>
  <c r="H90" i="2" s="1"/>
  <c r="N90" i="2" s="1"/>
  <c r="G89" i="2"/>
  <c r="G86" i="2"/>
  <c r="H86" i="2"/>
  <c r="N86" i="2" s="1"/>
  <c r="G81" i="2"/>
  <c r="H81" i="2" s="1"/>
  <c r="N81" i="2" s="1"/>
  <c r="G78" i="2"/>
  <c r="H78" i="2"/>
  <c r="G76" i="2"/>
  <c r="H76" i="2"/>
  <c r="K76" i="2"/>
  <c r="G75" i="2"/>
  <c r="H75" i="2" s="1"/>
  <c r="G74" i="2"/>
  <c r="H74" i="2"/>
  <c r="G72" i="2"/>
  <c r="H72" i="2" s="1"/>
  <c r="G71" i="2"/>
  <c r="G70" i="2"/>
  <c r="H70" i="2"/>
  <c r="N70" i="2" s="1"/>
  <c r="G69" i="2"/>
  <c r="G68" i="2"/>
  <c r="H68" i="2"/>
  <c r="G67" i="2"/>
  <c r="H67" i="2" s="1"/>
  <c r="H87" i="2" s="1"/>
  <c r="G66" i="2"/>
  <c r="H66" i="2"/>
  <c r="G53" i="2"/>
  <c r="H53" i="2" s="1"/>
  <c r="N53" i="2" s="1"/>
  <c r="G52" i="2"/>
  <c r="G51" i="2"/>
  <c r="H51" i="2" s="1"/>
  <c r="N51" i="2" s="1"/>
  <c r="G50" i="2"/>
  <c r="G49" i="2"/>
  <c r="H49" i="2" s="1"/>
  <c r="N49" i="2" s="1"/>
  <c r="G48" i="2"/>
  <c r="G47" i="2"/>
  <c r="H47" i="2" s="1"/>
  <c r="N47" i="2" s="1"/>
  <c r="G42" i="2"/>
  <c r="H42" i="2"/>
  <c r="G41" i="2"/>
  <c r="H41" i="2"/>
  <c r="G38" i="2"/>
  <c r="G36" i="2"/>
  <c r="H36" i="2" s="1"/>
  <c r="N36" i="2" s="1"/>
  <c r="G35" i="2"/>
  <c r="G34" i="2"/>
  <c r="H34" i="2" s="1"/>
  <c r="G33" i="2"/>
  <c r="H33" i="2"/>
  <c r="G32" i="2"/>
  <c r="H32" i="2" s="1"/>
  <c r="N32" i="2" s="1"/>
  <c r="G27" i="2"/>
  <c r="G24" i="2"/>
  <c r="H24" i="2" s="1"/>
  <c r="N24" i="2" s="1"/>
  <c r="G23" i="2"/>
  <c r="G22" i="2"/>
  <c r="G21" i="2"/>
  <c r="G19" i="2"/>
  <c r="G18" i="2"/>
  <c r="G17" i="2"/>
  <c r="H17" i="2" s="1"/>
  <c r="N17" i="2" s="1"/>
  <c r="G15" i="2"/>
  <c r="H14" i="2"/>
  <c r="N14" i="2"/>
  <c r="F170" i="2"/>
  <c r="G170" i="2"/>
  <c r="H170" i="2"/>
  <c r="F174" i="2"/>
  <c r="F177" i="2"/>
  <c r="G177" i="2"/>
  <c r="F181" i="2"/>
  <c r="G181" i="2"/>
  <c r="H181" i="2" s="1"/>
  <c r="N181" i="2" s="1"/>
  <c r="F129" i="2"/>
  <c r="H129" i="2"/>
  <c r="E87" i="2"/>
  <c r="E109" i="2"/>
  <c r="E163" i="2"/>
  <c r="E29" i="2"/>
  <c r="E54" i="2" s="1"/>
  <c r="H37" i="2"/>
  <c r="L12" i="2"/>
  <c r="L13" i="2"/>
  <c r="L14" i="2"/>
  <c r="L15" i="2"/>
  <c r="L16" i="2"/>
  <c r="L17" i="2"/>
  <c r="L18" i="2"/>
  <c r="N18" i="2"/>
  <c r="L19" i="2"/>
  <c r="L20" i="2"/>
  <c r="L21" i="2"/>
  <c r="L22" i="2"/>
  <c r="N22" i="2"/>
  <c r="M23" i="2"/>
  <c r="L23" i="2"/>
  <c r="L24" i="2"/>
  <c r="L25" i="2"/>
  <c r="L26" i="2"/>
  <c r="L27" i="2"/>
  <c r="M28" i="2"/>
  <c r="L28" i="2"/>
  <c r="L29" i="2"/>
  <c r="L30" i="2"/>
  <c r="N30" i="2"/>
  <c r="L32" i="2"/>
  <c r="L35" i="2"/>
  <c r="L36" i="2"/>
  <c r="L38" i="2"/>
  <c r="L44" i="2"/>
  <c r="N44" i="2"/>
  <c r="L45" i="2"/>
  <c r="L47" i="2"/>
  <c r="L48" i="2"/>
  <c r="L49" i="2"/>
  <c r="L50" i="2"/>
  <c r="L51" i="2"/>
  <c r="L52" i="2"/>
  <c r="L53" i="2"/>
  <c r="L65" i="2"/>
  <c r="L66" i="2"/>
  <c r="L67" i="2"/>
  <c r="L68" i="2"/>
  <c r="L69" i="2"/>
  <c r="L70" i="2"/>
  <c r="M71" i="2"/>
  <c r="L71" i="2"/>
  <c r="L73" i="2"/>
  <c r="L74" i="2"/>
  <c r="L75" i="2"/>
  <c r="L76" i="2"/>
  <c r="L78" i="2"/>
  <c r="L79" i="2"/>
  <c r="L81" i="2"/>
  <c r="L82" i="2"/>
  <c r="L83" i="2"/>
  <c r="L84" i="2"/>
  <c r="M86" i="2"/>
  <c r="L86" i="2"/>
  <c r="L88" i="2"/>
  <c r="N88" i="2"/>
  <c r="M89" i="2"/>
  <c r="L89" i="2"/>
  <c r="L90" i="2"/>
  <c r="M91" i="2"/>
  <c r="L91" i="2"/>
  <c r="L92" i="2"/>
  <c r="M93" i="2"/>
  <c r="L93" i="2" s="1"/>
  <c r="L94" i="2"/>
  <c r="L96" i="2"/>
  <c r="M97" i="2"/>
  <c r="L97" i="2" s="1"/>
  <c r="L98" i="2"/>
  <c r="L100" i="2"/>
  <c r="M102" i="2"/>
  <c r="L102" i="2" s="1"/>
  <c r="L103" i="2"/>
  <c r="L104" i="2"/>
  <c r="L106" i="2"/>
  <c r="L107" i="2"/>
  <c r="M109" i="2"/>
  <c r="L109" i="2"/>
  <c r="L110" i="2"/>
  <c r="L116" i="2"/>
  <c r="L117" i="2"/>
  <c r="L118" i="2"/>
  <c r="L119" i="2"/>
  <c r="M120" i="2"/>
  <c r="L120" i="2"/>
  <c r="L121" i="2"/>
  <c r="L123" i="2"/>
  <c r="L124" i="2"/>
  <c r="L126" i="2"/>
  <c r="M128" i="2"/>
  <c r="L128" i="2"/>
  <c r="L131" i="2"/>
  <c r="L132" i="2"/>
  <c r="L134" i="2"/>
  <c r="L135" i="2"/>
  <c r="L136" i="2"/>
  <c r="L137" i="2"/>
  <c r="M138" i="2"/>
  <c r="L138" i="2"/>
  <c r="L139" i="2"/>
  <c r="L140" i="2"/>
  <c r="L141" i="2"/>
  <c r="L142" i="2"/>
  <c r="L143" i="2"/>
  <c r="L144" i="2"/>
  <c r="L146" i="2"/>
  <c r="L147" i="2"/>
  <c r="N164" i="2"/>
  <c r="M165" i="2"/>
  <c r="L165" i="2"/>
  <c r="L166" i="2"/>
  <c r="N166" i="2"/>
  <c r="L167" i="2"/>
  <c r="L168" i="2"/>
  <c r="N168" i="2"/>
  <c r="L169" i="2"/>
  <c r="L175" i="2"/>
  <c r="L176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46" i="2"/>
  <c r="H15" i="2"/>
  <c r="N15" i="2" s="1"/>
  <c r="H189" i="2"/>
  <c r="N189" i="2"/>
  <c r="E117" i="8"/>
  <c r="E105" i="8"/>
  <c r="E96" i="8"/>
  <c r="E86" i="8"/>
  <c r="E75" i="8"/>
  <c r="E60" i="8"/>
  <c r="E17" i="8"/>
  <c r="E53" i="6"/>
  <c r="E38" i="6"/>
  <c r="E25" i="6"/>
  <c r="D25" i="5"/>
  <c r="F54" i="2"/>
  <c r="H124" i="2"/>
  <c r="N124" i="2"/>
  <c r="H123" i="2"/>
  <c r="N123" i="2"/>
  <c r="H121" i="2"/>
  <c r="K121" i="2"/>
  <c r="H120" i="2"/>
  <c r="H110" i="2"/>
  <c r="N110" i="2"/>
  <c r="H104" i="2"/>
  <c r="N104" i="2" s="1"/>
  <c r="H96" i="2"/>
  <c r="N96" i="2"/>
  <c r="H92" i="2"/>
  <c r="N92" i="2" s="1"/>
  <c r="H89" i="2"/>
  <c r="H190" i="2"/>
  <c r="N190" i="2"/>
  <c r="H185" i="2"/>
  <c r="N185" i="2"/>
  <c r="H180" i="2"/>
  <c r="N180" i="2"/>
  <c r="I184" i="2"/>
  <c r="J184" i="2"/>
  <c r="K164" i="2"/>
  <c r="K88" i="2"/>
  <c r="I185" i="2"/>
  <c r="J185" i="2"/>
  <c r="I183" i="2"/>
  <c r="J183" i="2"/>
  <c r="I186" i="2"/>
  <c r="J186" i="2"/>
  <c r="I190" i="2"/>
  <c r="J190" i="2"/>
  <c r="J102" i="2"/>
  <c r="I34" i="5"/>
  <c r="I66" i="5"/>
  <c r="I65" i="5"/>
  <c r="I64" i="5"/>
  <c r="I63" i="5"/>
  <c r="I62" i="5"/>
  <c r="I61" i="5"/>
  <c r="I67" i="5" s="1"/>
  <c r="I60" i="5"/>
  <c r="I57" i="5"/>
  <c r="I56" i="5"/>
  <c r="I55" i="5"/>
  <c r="I54" i="5"/>
  <c r="I53" i="5"/>
  <c r="I52" i="5"/>
  <c r="I58" i="5" s="1"/>
  <c r="I51" i="5"/>
  <c r="I48" i="5"/>
  <c r="I47" i="5"/>
  <c r="I49" i="5" s="1"/>
  <c r="I44" i="5"/>
  <c r="I45" i="5"/>
  <c r="I42" i="5"/>
  <c r="I41" i="5"/>
  <c r="I40" i="5"/>
  <c r="I39" i="5"/>
  <c r="I38" i="5"/>
  <c r="I43" i="5" s="1"/>
  <c r="I37" i="5"/>
  <c r="I36" i="5"/>
  <c r="I31" i="5"/>
  <c r="I30" i="5"/>
  <c r="I29" i="5"/>
  <c r="I28" i="5"/>
  <c r="I27" i="5"/>
  <c r="I32" i="5" s="1"/>
  <c r="I26" i="5"/>
  <c r="I23" i="5"/>
  <c r="I22" i="5"/>
  <c r="I21" i="5"/>
  <c r="I20" i="5"/>
  <c r="I19" i="5"/>
  <c r="I18" i="5"/>
  <c r="I17" i="5"/>
  <c r="I16" i="5"/>
  <c r="I15" i="5"/>
  <c r="I14" i="5"/>
  <c r="I13" i="5"/>
  <c r="I12" i="5"/>
  <c r="I9" i="5"/>
  <c r="I8" i="5"/>
  <c r="I7" i="5"/>
  <c r="I6" i="5"/>
  <c r="I5" i="5"/>
  <c r="I4" i="5"/>
  <c r="I3" i="5"/>
  <c r="H43" i="5"/>
  <c r="G43" i="5"/>
  <c r="F43" i="5"/>
  <c r="E43" i="5"/>
  <c r="H45" i="5"/>
  <c r="G45" i="5"/>
  <c r="F45" i="5"/>
  <c r="E45" i="5"/>
  <c r="H49" i="5"/>
  <c r="G49" i="5"/>
  <c r="F49" i="5"/>
  <c r="E49" i="5"/>
  <c r="H67" i="5"/>
  <c r="H58" i="5"/>
  <c r="G58" i="5"/>
  <c r="F58" i="5"/>
  <c r="E58" i="5"/>
  <c r="G67" i="5"/>
  <c r="F67" i="5"/>
  <c r="E67" i="5"/>
  <c r="C21" i="3"/>
  <c r="E21" i="3"/>
  <c r="P110" i="3"/>
  <c r="P109" i="3"/>
  <c r="P108" i="3"/>
  <c r="P107" i="3"/>
  <c r="P106" i="3"/>
  <c r="P105" i="3"/>
  <c r="P104" i="3"/>
  <c r="P103" i="3"/>
  <c r="P102" i="3"/>
  <c r="P101" i="3"/>
  <c r="P100" i="3"/>
  <c r="P99" i="3"/>
  <c r="P98" i="3"/>
  <c r="P97" i="3"/>
  <c r="P96" i="3"/>
  <c r="P95" i="3"/>
  <c r="P94" i="3"/>
  <c r="P93" i="3"/>
  <c r="P90" i="3"/>
  <c r="P89" i="3"/>
  <c r="P87" i="3"/>
  <c r="P86" i="3"/>
  <c r="P85" i="3"/>
  <c r="P84" i="3"/>
  <c r="P83" i="3"/>
  <c r="P82" i="3"/>
  <c r="P81" i="3"/>
  <c r="P80" i="3"/>
  <c r="P79" i="3"/>
  <c r="P78" i="3"/>
  <c r="P77" i="3"/>
  <c r="P76" i="3"/>
  <c r="P75" i="3"/>
  <c r="P74" i="3"/>
  <c r="P73" i="3"/>
  <c r="P72" i="3"/>
  <c r="P71" i="3"/>
  <c r="P70" i="3"/>
  <c r="P69" i="3"/>
  <c r="P68" i="3"/>
  <c r="P67" i="3"/>
  <c r="P66" i="3"/>
  <c r="P65" i="3"/>
  <c r="P64" i="3"/>
  <c r="P63" i="3"/>
  <c r="P62" i="3"/>
  <c r="P61" i="3"/>
  <c r="P60" i="3"/>
  <c r="P59" i="3"/>
  <c r="P58" i="3"/>
  <c r="P57" i="3"/>
  <c r="P56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0" i="3"/>
  <c r="P19" i="3"/>
  <c r="P18" i="3"/>
  <c r="P17" i="3"/>
  <c r="P16" i="3"/>
  <c r="P15" i="3"/>
  <c r="P14" i="3"/>
  <c r="P13" i="3"/>
  <c r="P12" i="3"/>
  <c r="P11" i="3"/>
  <c r="P10" i="3"/>
  <c r="P8" i="3"/>
  <c r="P7" i="3"/>
  <c r="P6" i="3"/>
  <c r="P5" i="3"/>
  <c r="P4" i="3"/>
  <c r="P3" i="3"/>
  <c r="H25" i="5"/>
  <c r="G25" i="5"/>
  <c r="F25" i="5"/>
  <c r="E25" i="5"/>
  <c r="P92" i="3"/>
  <c r="N21" i="3"/>
  <c r="N22" i="3"/>
  <c r="M21" i="3"/>
  <c r="M22" i="3" s="1"/>
  <c r="M113" i="3" s="1"/>
  <c r="L21" i="3"/>
  <c r="L9" i="3"/>
  <c r="J21" i="3"/>
  <c r="J22" i="3" s="1"/>
  <c r="G21" i="3"/>
  <c r="D21" i="3"/>
  <c r="O22" i="3"/>
  <c r="K22" i="3"/>
  <c r="I22" i="3"/>
  <c r="I113" i="3" s="1"/>
  <c r="H22" i="3"/>
  <c r="F22" i="3"/>
  <c r="E22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O91" i="3"/>
  <c r="O113" i="3"/>
  <c r="N91" i="3"/>
  <c r="N113" i="3" s="1"/>
  <c r="M91" i="3"/>
  <c r="L91" i="3"/>
  <c r="K91" i="3"/>
  <c r="K113" i="3"/>
  <c r="J91" i="3"/>
  <c r="I91" i="3"/>
  <c r="H91" i="3"/>
  <c r="G91" i="3"/>
  <c r="G113" i="3" s="1"/>
  <c r="F91" i="3"/>
  <c r="E91" i="3"/>
  <c r="D91" i="3"/>
  <c r="C88" i="3"/>
  <c r="I181" i="2"/>
  <c r="J181" i="2"/>
  <c r="L22" i="3"/>
  <c r="L113" i="3" s="1"/>
  <c r="J113" i="3"/>
  <c r="H113" i="3"/>
  <c r="F113" i="3"/>
  <c r="E113" i="3"/>
  <c r="I131" i="2"/>
  <c r="J131" i="2"/>
  <c r="I97" i="2"/>
  <c r="J97" i="2"/>
  <c r="I91" i="2"/>
  <c r="I138" i="2"/>
  <c r="I89" i="2"/>
  <c r="I70" i="2"/>
  <c r="J70" i="2"/>
  <c r="I93" i="2"/>
  <c r="I174" i="2"/>
  <c r="I120" i="2"/>
  <c r="J120" i="2" s="1"/>
  <c r="I86" i="2"/>
  <c r="J86" i="2"/>
  <c r="I71" i="2"/>
  <c r="J71" i="2" s="1"/>
  <c r="J188" i="2"/>
  <c r="J187" i="2"/>
  <c r="J182" i="2"/>
  <c r="J178" i="2"/>
  <c r="J175" i="2"/>
  <c r="J167" i="2"/>
  <c r="J165" i="2"/>
  <c r="J164" i="2"/>
  <c r="J147" i="2"/>
  <c r="J146" i="2"/>
  <c r="J144" i="2"/>
  <c r="J143" i="2"/>
  <c r="J142" i="2"/>
  <c r="J141" i="2"/>
  <c r="J140" i="2"/>
  <c r="J137" i="2"/>
  <c r="J136" i="2"/>
  <c r="J135" i="2"/>
  <c r="J134" i="2"/>
  <c r="J132" i="2"/>
  <c r="J128" i="2"/>
  <c r="J126" i="2"/>
  <c r="J124" i="2"/>
  <c r="J123" i="2"/>
  <c r="J121" i="2"/>
  <c r="J119" i="2"/>
  <c r="J118" i="2"/>
  <c r="J117" i="2"/>
  <c r="J116" i="2"/>
  <c r="J110" i="2"/>
  <c r="J109" i="2"/>
  <c r="J107" i="2"/>
  <c r="J104" i="2"/>
  <c r="J103" i="2"/>
  <c r="J100" i="2"/>
  <c r="J98" i="2"/>
  <c r="J96" i="2"/>
  <c r="J94" i="2"/>
  <c r="J92" i="2"/>
  <c r="J88" i="2"/>
  <c r="J84" i="2"/>
  <c r="J83" i="2"/>
  <c r="J82" i="2"/>
  <c r="J81" i="2"/>
  <c r="J79" i="2"/>
  <c r="J78" i="2"/>
  <c r="J76" i="2"/>
  <c r="J75" i="2"/>
  <c r="J74" i="2"/>
  <c r="J73" i="2"/>
  <c r="J69" i="2"/>
  <c r="J68" i="2"/>
  <c r="J67" i="2"/>
  <c r="J66" i="2"/>
  <c r="J65" i="2"/>
  <c r="J64" i="2"/>
  <c r="J63" i="2"/>
  <c r="J62" i="2"/>
  <c r="J59" i="2"/>
  <c r="J56" i="2"/>
  <c r="J55" i="2"/>
  <c r="J53" i="2"/>
  <c r="J52" i="2"/>
  <c r="J51" i="2"/>
  <c r="J50" i="2"/>
  <c r="J48" i="2"/>
  <c r="J47" i="2"/>
  <c r="J46" i="2"/>
  <c r="J45" i="2"/>
  <c r="J44" i="2"/>
  <c r="J36" i="2"/>
  <c r="J35" i="2"/>
  <c r="J32" i="2"/>
  <c r="J30" i="2"/>
  <c r="J29" i="2"/>
  <c r="J27" i="2"/>
  <c r="J26" i="2"/>
  <c r="J24" i="2"/>
  <c r="J22" i="2"/>
  <c r="J21" i="2"/>
  <c r="J20" i="2"/>
  <c r="J19" i="2"/>
  <c r="J18" i="2"/>
  <c r="J16" i="2"/>
  <c r="J14" i="2"/>
  <c r="J13" i="2"/>
  <c r="J12" i="2"/>
  <c r="I28" i="2"/>
  <c r="J28" i="2"/>
  <c r="I38" i="2"/>
  <c r="J38" i="2"/>
  <c r="I25" i="2"/>
  <c r="J25" i="2"/>
  <c r="I23" i="2"/>
  <c r="J23" i="2"/>
  <c r="I17" i="2"/>
  <c r="J17" i="2"/>
  <c r="N75" i="2"/>
  <c r="H71" i="2"/>
  <c r="K71" i="2"/>
  <c r="H69" i="2"/>
  <c r="N69" i="2"/>
  <c r="N67" i="2"/>
  <c r="H64" i="2"/>
  <c r="H63" i="2"/>
  <c r="H62" i="2"/>
  <c r="H59" i="2"/>
  <c r="H56" i="2"/>
  <c r="H55" i="2"/>
  <c r="H52" i="2"/>
  <c r="N52" i="2"/>
  <c r="H50" i="2"/>
  <c r="N50" i="2"/>
  <c r="H48" i="2"/>
  <c r="N48" i="2"/>
  <c r="H46" i="2"/>
  <c r="N46" i="2"/>
  <c r="H45" i="2"/>
  <c r="N45" i="2"/>
  <c r="H38" i="2"/>
  <c r="N38" i="2"/>
  <c r="H35" i="2"/>
  <c r="N35" i="2"/>
  <c r="H29" i="2"/>
  <c r="N29" i="2"/>
  <c r="H28" i="2"/>
  <c r="N28" i="2"/>
  <c r="H27" i="2"/>
  <c r="N27" i="2"/>
  <c r="H26" i="2"/>
  <c r="N26" i="2"/>
  <c r="H25" i="2"/>
  <c r="N25" i="2"/>
  <c r="H23" i="2"/>
  <c r="H21" i="2"/>
  <c r="N21" i="2" s="1"/>
  <c r="H20" i="2"/>
  <c r="N20" i="2" s="1"/>
  <c r="H19" i="2"/>
  <c r="N19" i="2" s="1"/>
  <c r="H16" i="2"/>
  <c r="N16" i="2" s="1"/>
  <c r="C24" i="3"/>
  <c r="P24" i="3"/>
  <c r="C9" i="3"/>
  <c r="C22" i="3" s="1"/>
  <c r="L133" i="1"/>
  <c r="K129" i="1"/>
  <c r="J129" i="1"/>
  <c r="I129" i="1"/>
  <c r="F129" i="1"/>
  <c r="G129" i="1" s="1"/>
  <c r="H129" i="1"/>
  <c r="AJ133" i="1"/>
  <c r="AF129" i="1"/>
  <c r="AJ129" i="1" s="1"/>
  <c r="AG129" i="1"/>
  <c r="AH129" i="1"/>
  <c r="AH138" i="1"/>
  <c r="AI138" i="1" s="1"/>
  <c r="AG138" i="1"/>
  <c r="B129" i="1"/>
  <c r="V133" i="1"/>
  <c r="AE133" i="1" s="1"/>
  <c r="AK133" i="1" s="1"/>
  <c r="G133" i="1"/>
  <c r="AH131" i="1"/>
  <c r="AG131" i="1"/>
  <c r="AJ131" i="1"/>
  <c r="AF131" i="1"/>
  <c r="AC131" i="1"/>
  <c r="Z131" i="1"/>
  <c r="V131" i="1"/>
  <c r="L131" i="1"/>
  <c r="G131" i="1"/>
  <c r="M131" i="1"/>
  <c r="AL129" i="1"/>
  <c r="AC129" i="1"/>
  <c r="AD129" i="1"/>
  <c r="Z129" i="1"/>
  <c r="V129" i="1"/>
  <c r="L129" i="1"/>
  <c r="AJ13" i="1"/>
  <c r="V13" i="1"/>
  <c r="AE13" i="1"/>
  <c r="L13" i="1"/>
  <c r="G13" i="1"/>
  <c r="M129" i="1"/>
  <c r="B9" i="1"/>
  <c r="AK96" i="1"/>
  <c r="AK74" i="1"/>
  <c r="AF11" i="1" s="1"/>
  <c r="AK100" i="1"/>
  <c r="AK83" i="1"/>
  <c r="AK82" i="1"/>
  <c r="AK89" i="1"/>
  <c r="AK88" i="1"/>
  <c r="AK99" i="1"/>
  <c r="AK98" i="1"/>
  <c r="AK91" i="1"/>
  <c r="AK79" i="1"/>
  <c r="K11" i="1"/>
  <c r="F11" i="1"/>
  <c r="G11" i="1" s="1"/>
  <c r="AC11" i="1"/>
  <c r="AD11" i="1"/>
  <c r="Z11" i="1"/>
  <c r="V11" i="1"/>
  <c r="J11" i="1"/>
  <c r="I11" i="1"/>
  <c r="L11" i="1" s="1"/>
  <c r="H11" i="1"/>
  <c r="G57" i="2"/>
  <c r="F57" i="2"/>
  <c r="H57" i="2" s="1"/>
  <c r="J57" i="2"/>
  <c r="E57" i="2"/>
  <c r="F87" i="2"/>
  <c r="L87" i="2"/>
  <c r="AH9" i="1"/>
  <c r="AG9" i="1"/>
  <c r="AC9" i="1"/>
  <c r="Z9" i="1"/>
  <c r="V9" i="1"/>
  <c r="K9" i="1"/>
  <c r="L9" i="1"/>
  <c r="F9" i="1"/>
  <c r="G9" i="1"/>
  <c r="M9" i="1" s="1"/>
  <c r="I25" i="5"/>
  <c r="H183" i="2"/>
  <c r="N183" i="2"/>
  <c r="J93" i="2"/>
  <c r="E191" i="2"/>
  <c r="K67" i="2"/>
  <c r="K96" i="2"/>
  <c r="K110" i="2"/>
  <c r="N120" i="2"/>
  <c r="K185" i="2"/>
  <c r="I191" i="2"/>
  <c r="J191" i="2"/>
  <c r="K123" i="2"/>
  <c r="G22" i="3"/>
  <c r="M54" i="2"/>
  <c r="M55" i="2" s="1"/>
  <c r="P191" i="2"/>
  <c r="K109" i="2"/>
  <c r="G87" i="2"/>
  <c r="K180" i="2"/>
  <c r="K75" i="2"/>
  <c r="I54" i="2"/>
  <c r="J54" i="2" s="1"/>
  <c r="K120" i="2"/>
  <c r="N121" i="2"/>
  <c r="J170" i="2"/>
  <c r="E58" i="2"/>
  <c r="E61" i="2" s="1"/>
  <c r="N12" i="2"/>
  <c r="L163" i="2"/>
  <c r="N76" i="2"/>
  <c r="N126" i="2"/>
  <c r="K136" i="2"/>
  <c r="K131" i="2"/>
  <c r="N89" i="2"/>
  <c r="K65" i="2"/>
  <c r="K69" i="2"/>
  <c r="J91" i="2"/>
  <c r="K190" i="2"/>
  <c r="N23" i="2"/>
  <c r="I87" i="2"/>
  <c r="J87" i="2"/>
  <c r="L177" i="2"/>
  <c r="L170" i="2"/>
  <c r="L129" i="2"/>
  <c r="N66" i="2"/>
  <c r="K66" i="2"/>
  <c r="K70" i="2"/>
  <c r="K188" i="2"/>
  <c r="N188" i="2"/>
  <c r="K74" i="2"/>
  <c r="N74" i="2"/>
  <c r="K184" i="2"/>
  <c r="N184" i="2"/>
  <c r="K187" i="2"/>
  <c r="N187" i="2"/>
  <c r="H177" i="2"/>
  <c r="K177" i="2" s="1"/>
  <c r="N71" i="2"/>
  <c r="J177" i="2"/>
  <c r="J129" i="2"/>
  <c r="K183" i="2"/>
  <c r="I163" i="2"/>
  <c r="I192" i="2" s="1"/>
  <c r="K124" i="2"/>
  <c r="J138" i="2"/>
  <c r="F163" i="2"/>
  <c r="J163" i="2" s="1"/>
  <c r="O191" i="2"/>
  <c r="O192" i="2" s="1"/>
  <c r="K181" i="2"/>
  <c r="K170" i="2"/>
  <c r="N170" i="2"/>
  <c r="K68" i="2"/>
  <c r="N68" i="2"/>
  <c r="K78" i="2"/>
  <c r="N78" i="2"/>
  <c r="N93" i="2"/>
  <c r="K93" i="2"/>
  <c r="N98" i="2"/>
  <c r="K98" i="2"/>
  <c r="N103" i="2"/>
  <c r="K103" i="2"/>
  <c r="K107" i="2"/>
  <c r="N107" i="2"/>
  <c r="K132" i="2"/>
  <c r="N132" i="2"/>
  <c r="K141" i="2"/>
  <c r="N141" i="2"/>
  <c r="N143" i="2"/>
  <c r="K143" i="2"/>
  <c r="N146" i="2"/>
  <c r="K146" i="2"/>
  <c r="K167" i="2"/>
  <c r="N167" i="2"/>
  <c r="K175" i="2"/>
  <c r="N175" i="2"/>
  <c r="K178" i="2"/>
  <c r="N178" i="2"/>
  <c r="K182" i="2"/>
  <c r="N182" i="2"/>
  <c r="N119" i="2"/>
  <c r="K119" i="2"/>
  <c r="K118" i="2"/>
  <c r="N118" i="2"/>
  <c r="N134" i="2"/>
  <c r="H91" i="2"/>
  <c r="N91" i="2" s="1"/>
  <c r="N79" i="2"/>
  <c r="K79" i="2"/>
  <c r="N102" i="2"/>
  <c r="K102" i="2"/>
  <c r="N129" i="2"/>
  <c r="K129" i="2"/>
  <c r="N94" i="2"/>
  <c r="K97" i="2"/>
  <c r="K100" i="2"/>
  <c r="N100" i="2"/>
  <c r="K128" i="2"/>
  <c r="K137" i="2"/>
  <c r="N137" i="2"/>
  <c r="N140" i="2"/>
  <c r="K142" i="2"/>
  <c r="N144" i="2"/>
  <c r="K147" i="2"/>
  <c r="N176" i="2"/>
  <c r="K176" i="2"/>
  <c r="K117" i="2"/>
  <c r="N117" i="2"/>
  <c r="K82" i="2"/>
  <c r="N82" i="2"/>
  <c r="K84" i="2"/>
  <c r="N84" i="2"/>
  <c r="N87" i="2" l="1"/>
  <c r="K87" i="2"/>
  <c r="M11" i="1"/>
  <c r="AE11" i="1"/>
  <c r="N97" i="2"/>
  <c r="N83" i="2"/>
  <c r="H54" i="2"/>
  <c r="H58" i="2" s="1"/>
  <c r="H61" i="2" s="1"/>
  <c r="N165" i="2"/>
  <c r="N177" i="2"/>
  <c r="P111" i="3"/>
  <c r="L174" i="2"/>
  <c r="J174" i="2"/>
  <c r="K135" i="2"/>
  <c r="N135" i="2"/>
  <c r="F277" i="9"/>
  <c r="K91" i="2"/>
  <c r="K86" i="2"/>
  <c r="P163" i="2"/>
  <c r="P192" i="2" s="1"/>
  <c r="K92" i="2"/>
  <c r="AD9" i="1"/>
  <c r="AE9" i="1" s="1"/>
  <c r="AK9" i="1" s="1"/>
  <c r="AK92" i="1"/>
  <c r="AD131" i="1"/>
  <c r="AE131" i="1" s="1"/>
  <c r="AK131" i="1" s="1"/>
  <c r="E192" i="2"/>
  <c r="E193" i="2" s="1"/>
  <c r="F8" i="2" s="1"/>
  <c r="F58" i="2" s="1"/>
  <c r="F282" i="9"/>
  <c r="N116" i="2"/>
  <c r="K104" i="2"/>
  <c r="P88" i="3"/>
  <c r="P91" i="3" s="1"/>
  <c r="C91" i="3"/>
  <c r="C113" i="3" s="1"/>
  <c r="E55" i="6"/>
  <c r="E64" i="6"/>
  <c r="N138" i="2"/>
  <c r="K138" i="2"/>
  <c r="F561" i="9"/>
  <c r="C632" i="9"/>
  <c r="M192" i="2"/>
  <c r="F191" i="2"/>
  <c r="AE129" i="1"/>
  <c r="AK129" i="1" s="1"/>
  <c r="H163" i="2"/>
  <c r="G163" i="2"/>
  <c r="K73" i="2"/>
  <c r="K186" i="2"/>
  <c r="K81" i="2"/>
  <c r="G174" i="2"/>
  <c r="H174" i="2" s="1"/>
  <c r="P87" i="2"/>
  <c r="Q87" i="2" s="1"/>
  <c r="G54" i="2"/>
  <c r="G58" i="2" s="1"/>
  <c r="G61" i="2" s="1"/>
  <c r="AJ9" i="1"/>
  <c r="AK75" i="1"/>
  <c r="AH11" i="1" s="1"/>
  <c r="AK13" i="1"/>
  <c r="K89" i="2"/>
  <c r="J89" i="2"/>
  <c r="D22" i="3"/>
  <c r="D113" i="3" s="1"/>
  <c r="P21" i="3"/>
  <c r="C134" i="9"/>
  <c r="F134" i="9"/>
  <c r="F490" i="9"/>
  <c r="P9" i="3"/>
  <c r="P22" i="3" s="1"/>
  <c r="F61" i="2" l="1"/>
  <c r="J58" i="2"/>
  <c r="N163" i="2"/>
  <c r="K163" i="2"/>
  <c r="G191" i="2"/>
  <c r="G192" i="2" s="1"/>
  <c r="K174" i="2"/>
  <c r="N174" i="2"/>
  <c r="H191" i="2"/>
  <c r="H192" i="2" s="1"/>
  <c r="P193" i="2" s="1"/>
  <c r="P113" i="3"/>
  <c r="I193" i="2"/>
  <c r="F192" i="2"/>
  <c r="AG11" i="1"/>
  <c r="AJ11" i="1" s="1"/>
  <c r="AK11" i="1" s="1"/>
  <c r="AK103" i="1"/>
  <c r="AK104" i="1" s="1"/>
  <c r="L192" i="2" l="1"/>
  <c r="J61" i="2"/>
  <c r="F193" i="2"/>
</calcChain>
</file>

<file path=xl/comments1.xml><?xml version="1.0" encoding="utf-8"?>
<comments xmlns="http://schemas.openxmlformats.org/spreadsheetml/2006/main">
  <authors>
    <author>BO</author>
  </authors>
  <commentList>
    <comment ref="G134" authorId="0" shapeId="0">
      <text>
        <r>
          <rPr>
            <b/>
            <sz val="8"/>
            <color indexed="81"/>
            <rFont val="Tahoma"/>
            <family val="2"/>
          </rPr>
          <t>BO: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<sst xmlns="http://schemas.openxmlformats.org/spreadsheetml/2006/main" count="2686" uniqueCount="883">
  <si>
    <t>R               E                C               E               I               P               T               S</t>
  </si>
  <si>
    <t xml:space="preserve"> L          O          C          A          L                    S          O          U          R          C          E          S</t>
  </si>
  <si>
    <t>E     X     T     E     R     N     A     L               S     O     U     R     C     E     S</t>
  </si>
  <si>
    <t>N     O     N     -     I     N     C     O     M     E          R     E     C     E     I     P     T     S</t>
  </si>
  <si>
    <t>Capital Investment Receipts</t>
  </si>
  <si>
    <t>Receipts from Loans and Borrowings</t>
  </si>
  <si>
    <t>E          X          P          E          N          D          I          T          U          R          E          S</t>
  </si>
  <si>
    <t>Proceeds</t>
  </si>
  <si>
    <t xml:space="preserve">from </t>
  </si>
  <si>
    <t>Sale of</t>
  </si>
  <si>
    <t>Assets</t>
  </si>
  <si>
    <t>Sale of Debt</t>
  </si>
  <si>
    <t>Securities of</t>
  </si>
  <si>
    <t>Other Entities</t>
  </si>
  <si>
    <t>Proceeds from</t>
  </si>
  <si>
    <t xml:space="preserve">Collection of </t>
  </si>
  <si>
    <t xml:space="preserve">Loan </t>
  </si>
  <si>
    <t>Receivables</t>
  </si>
  <si>
    <t>Total Capital</t>
  </si>
  <si>
    <t>Investment</t>
  </si>
  <si>
    <t>Receipts</t>
  </si>
  <si>
    <t>Acquisition of</t>
  </si>
  <si>
    <t>Loans</t>
  </si>
  <si>
    <t>Issuance of</t>
  </si>
  <si>
    <t>Bonds</t>
  </si>
  <si>
    <t>Total</t>
  </si>
  <si>
    <t>from Loans</t>
  </si>
  <si>
    <t>Total Receipts</t>
  </si>
  <si>
    <t xml:space="preserve">and </t>
  </si>
  <si>
    <t>Borrowings</t>
  </si>
  <si>
    <t>TOTAL NON-</t>
  </si>
  <si>
    <t>INCOME</t>
  </si>
  <si>
    <t>RECEIPTS</t>
  </si>
  <si>
    <t>Other Shares from National Tax Collection</t>
  </si>
  <si>
    <t>Tobacco</t>
  </si>
  <si>
    <t>Tax</t>
  </si>
  <si>
    <t>Share</t>
  </si>
  <si>
    <t>from</t>
  </si>
  <si>
    <t>National</t>
  </si>
  <si>
    <t>Wealth</t>
  </si>
  <si>
    <t>EVAT</t>
  </si>
  <si>
    <t xml:space="preserve">Share </t>
  </si>
  <si>
    <t>Ecozone</t>
  </si>
  <si>
    <t>GOCCs</t>
  </si>
  <si>
    <t>(PAGCOR &amp;</t>
  </si>
  <si>
    <t>PCSO)</t>
  </si>
  <si>
    <t>Internal</t>
  </si>
  <si>
    <t>Revenue</t>
  </si>
  <si>
    <t>Allotment</t>
  </si>
  <si>
    <t>Excise Tax</t>
  </si>
  <si>
    <t>Inter-Local</t>
  </si>
  <si>
    <t>Transfer</t>
  </si>
  <si>
    <t>Extraordinary</t>
  </si>
  <si>
    <t>Receipts/</t>
  </si>
  <si>
    <t>Grants/</t>
  </si>
  <si>
    <t>Donations/Aids</t>
  </si>
  <si>
    <t>TOTAL</t>
  </si>
  <si>
    <t>EXTERNAL</t>
  </si>
  <si>
    <t>SOURCES</t>
  </si>
  <si>
    <t>Non-Tax Revenue</t>
  </si>
  <si>
    <t>Tax Revenue</t>
  </si>
  <si>
    <t>Real Property Tax (RPT)</t>
  </si>
  <si>
    <t>Business</t>
  </si>
  <si>
    <t>Other</t>
  </si>
  <si>
    <t>Taxes</t>
  </si>
  <si>
    <t>Regulatory</t>
  </si>
  <si>
    <t>Fees</t>
  </si>
  <si>
    <t>Service/</t>
  </si>
  <si>
    <t>User</t>
  </si>
  <si>
    <t>Charges</t>
  </si>
  <si>
    <t>Economic</t>
  </si>
  <si>
    <t>Enterprise</t>
  </si>
  <si>
    <t>Non-Tax</t>
  </si>
  <si>
    <t>LOCAL</t>
  </si>
  <si>
    <t>Basic</t>
  </si>
  <si>
    <t>RPT</t>
  </si>
  <si>
    <t>Special</t>
  </si>
  <si>
    <t>Education</t>
  </si>
  <si>
    <t>BEGINNING</t>
  </si>
  <si>
    <t>CASH</t>
  </si>
  <si>
    <t>BALANCE</t>
  </si>
  <si>
    <t>PARTICULARS</t>
  </si>
  <si>
    <t>GENERAL</t>
  </si>
  <si>
    <t>SERVICES</t>
  </si>
  <si>
    <t>ECONOMIC</t>
  </si>
  <si>
    <t>SOCIAL</t>
  </si>
  <si>
    <t>DEBT</t>
  </si>
  <si>
    <t>EXPENDITURES</t>
  </si>
  <si>
    <t>ENDING CASH</t>
  </si>
  <si>
    <t>ACCOUNT</t>
  </si>
  <si>
    <t>CODE</t>
  </si>
  <si>
    <t>Past Year</t>
  </si>
  <si>
    <t>First Semester</t>
  </si>
  <si>
    <t>Second Semester</t>
  </si>
  <si>
    <t>Estimates</t>
  </si>
  <si>
    <t>Actual</t>
  </si>
  <si>
    <t>I.</t>
  </si>
  <si>
    <t>Beginning Balance</t>
  </si>
  <si>
    <t>II.</t>
  </si>
  <si>
    <t>RECEIPTS:</t>
  </si>
  <si>
    <t>A.</t>
  </si>
  <si>
    <t>TAX REVENUE</t>
  </si>
  <si>
    <t>Business Tax</t>
  </si>
  <si>
    <t>Community Tax</t>
  </si>
  <si>
    <t>Tax on Sand &amp; Gravel &amp; Other Quarry Products</t>
  </si>
  <si>
    <t>B.</t>
  </si>
  <si>
    <t>PERMITS &amp; LICENSES</t>
  </si>
  <si>
    <t>C.</t>
  </si>
  <si>
    <t>SERVICE INCOME</t>
  </si>
  <si>
    <t>Clearances and Certification Fees</t>
  </si>
  <si>
    <t>Garbage Fees</t>
  </si>
  <si>
    <t>Inspection Fees</t>
  </si>
  <si>
    <t>Processing Fees</t>
  </si>
  <si>
    <t>Other Service Income</t>
  </si>
  <si>
    <t>Fines &amp; Penalties-Service Income</t>
  </si>
  <si>
    <t>BUSINESS INCOME</t>
  </si>
  <si>
    <t>D.</t>
  </si>
  <si>
    <t>Rent Income</t>
  </si>
  <si>
    <t>E.</t>
  </si>
  <si>
    <t>OTHER INCOME</t>
  </si>
  <si>
    <t>Interest Income</t>
  </si>
  <si>
    <t>Share From Expanded Value Added Tax (EVAT)</t>
  </si>
  <si>
    <t>Share from Tobacco Excise Tax</t>
  </si>
  <si>
    <t>Miscellaneous Income</t>
  </si>
  <si>
    <t>TOTAL INCOME</t>
  </si>
  <si>
    <t>OTHER RECEIPTS:</t>
  </si>
  <si>
    <t>TOTALBORROWINGS</t>
  </si>
  <si>
    <t>TOTAL AVAILABLE RESOURCES</t>
  </si>
  <si>
    <t>III.</t>
  </si>
  <si>
    <t>Less: Continuing Appropriations</t>
  </si>
  <si>
    <t>IV.</t>
  </si>
  <si>
    <t>NET AVAILABLE RESOURCES</t>
  </si>
  <si>
    <t>V.</t>
  </si>
  <si>
    <t>EXPENDITURES:</t>
  </si>
  <si>
    <t>Current Operating Expenses</t>
  </si>
  <si>
    <t>A,</t>
  </si>
  <si>
    <t>Personal Services</t>
  </si>
  <si>
    <t>Salaries &amp; Wages-Regular</t>
  </si>
  <si>
    <t>Personnel Economic Relief Allowance (PERA)</t>
  </si>
  <si>
    <t>Representation Allowance (RA)</t>
  </si>
  <si>
    <t>Transportation Allowance (TA)</t>
  </si>
  <si>
    <t>Clothing/Uniform Allowance</t>
  </si>
  <si>
    <t>Subsistence, Laundry &amp; Quarter Allowance</t>
  </si>
  <si>
    <t>Productivity Incentive Allowance</t>
  </si>
  <si>
    <t>Hazard Pay</t>
  </si>
  <si>
    <t>Longevity Pay</t>
  </si>
  <si>
    <t>Cash Gift</t>
  </si>
  <si>
    <t>Year-End Bonus</t>
  </si>
  <si>
    <t>Life &amp; Retirement Insurance Contributions</t>
  </si>
  <si>
    <t>Pag-IBIG Contributions</t>
  </si>
  <si>
    <t>PHILHEALTH Contributions</t>
  </si>
  <si>
    <t>ECC Contributions</t>
  </si>
  <si>
    <t>Terminal Leave Benefits</t>
  </si>
  <si>
    <t>Other Personnel Benefits</t>
  </si>
  <si>
    <t>Total Personal Services</t>
  </si>
  <si>
    <t>Maintenance &amp; Other Operating Expenses</t>
  </si>
  <si>
    <t>Travelling Expenses-Local</t>
  </si>
  <si>
    <t>Training Expenses</t>
  </si>
  <si>
    <t>Scholarship Expenses</t>
  </si>
  <si>
    <t>Office Supplies Expense</t>
  </si>
  <si>
    <t>Accountable Forms Expenses</t>
  </si>
  <si>
    <t>Gasoline, Oil &amp; Lubricants Expense</t>
  </si>
  <si>
    <t>Agricultural Supplies Expense</t>
  </si>
  <si>
    <t>Other Supplies Expense</t>
  </si>
  <si>
    <t>Electricity Expense</t>
  </si>
  <si>
    <t>Telephone Expense-Landline</t>
  </si>
  <si>
    <t>Telephone Expense- Mobile</t>
  </si>
  <si>
    <t>Membership Due &amp; Contributions to Organization</t>
  </si>
  <si>
    <t>Printing and Binding Expense</t>
  </si>
  <si>
    <t>Repair &amp; Maintenance - electrification, Power &amp; Energy Structures</t>
  </si>
  <si>
    <t>Repair &amp; Maintenance - Office Building</t>
  </si>
  <si>
    <t>Repair &amp; Maintenance - School Buildings</t>
  </si>
  <si>
    <t>Repair &amp; Maintenance - Hospitals, Health Centers</t>
  </si>
  <si>
    <t>Repair &amp; Maintenance - Markets &amp; Slaughterhouse</t>
  </si>
  <si>
    <t>Repair &amp; Maintenance - Other Structures</t>
  </si>
  <si>
    <t>Repair &amp; Maintenance - Office Equipment</t>
  </si>
  <si>
    <t>Repair &amp; Maintenance - IT Equipment</t>
  </si>
  <si>
    <t>Repair &amp; Maintenance - Communication Equipment</t>
  </si>
  <si>
    <t>Repair &amp; Maintenance - Construction &amp; Heavy Equipment</t>
  </si>
  <si>
    <t>Repair &amp; Maintenance - Motor Vehicles</t>
  </si>
  <si>
    <t>Repair &amp; Maintenance - Roads, Highways and Bridges</t>
  </si>
  <si>
    <t>Repair &amp; Maintenance - Parks, Plazas &amp; Monumentss</t>
  </si>
  <si>
    <t>Repair &amp; Maint. - Artesian Wells, Reservoirs, Pumping Station &amp; Conduits</t>
  </si>
  <si>
    <t>Repair &amp; Maintenance - Flood Control</t>
  </si>
  <si>
    <t>Repair &amp; Maintenance - Reforestation Upland</t>
  </si>
  <si>
    <t>Subsidy to National Government Agencies</t>
  </si>
  <si>
    <t>Subsidy to Local Government Units</t>
  </si>
  <si>
    <t>Donations</t>
  </si>
  <si>
    <t>Repair &amp; Maintenance - Irrigation, Canals &amp; Laterals</t>
  </si>
  <si>
    <t>Subsidy to Other Funds</t>
  </si>
  <si>
    <t>Miscellaneous Expense</t>
  </si>
  <si>
    <t>Fidelity Bond</t>
  </si>
  <si>
    <t>Insurance Expense</t>
  </si>
  <si>
    <t>Dep'n-Electrification, Power &amp; Energy Structure</t>
  </si>
  <si>
    <t>Dep'n-Office Building</t>
  </si>
  <si>
    <t>Dep'n-School Buildings</t>
  </si>
  <si>
    <t>Dep'n-Hospitals &amp; Health Centers</t>
  </si>
  <si>
    <t>Dep'n-Market &amp; Slaughterhouses</t>
  </si>
  <si>
    <t>Dep'n-Other Structures</t>
  </si>
  <si>
    <t>Dep'n-Office Equipment</t>
  </si>
  <si>
    <t>Dep'n-Furniture &amp; Fixtures</t>
  </si>
  <si>
    <t>Dep'n-IT Equipments</t>
  </si>
  <si>
    <t>Dep'n-Agricultural, Fishery &amp; Forestry</t>
  </si>
  <si>
    <t>Dep'n-Communication &amp; Equipment</t>
  </si>
  <si>
    <t>Dep'n-Construction &amp; Heavy Equipment</t>
  </si>
  <si>
    <t>Dep'n-Medical, Dental and Laboratory Equipment</t>
  </si>
  <si>
    <t>Dep'n-Other Machineries &amp; Equipment</t>
  </si>
  <si>
    <t>Discount on Real Property Taxes</t>
  </si>
  <si>
    <t>Other Maintenance and Operating Expenses</t>
  </si>
  <si>
    <t>Total Maintenance &amp; Other Operating Expenses</t>
  </si>
  <si>
    <t>Interest Expense</t>
  </si>
  <si>
    <t>Other Financial Charges</t>
  </si>
  <si>
    <t>Electrification, Power &amp; Energy Structure</t>
  </si>
  <si>
    <t>Furniture &amp; Fixture</t>
  </si>
  <si>
    <t>Communication Equipment</t>
  </si>
  <si>
    <t>Construction &amp; Heavy Equipment</t>
  </si>
  <si>
    <t>Motor Vehicles</t>
  </si>
  <si>
    <t>Construction in Progress-Agency Assets</t>
  </si>
  <si>
    <t>Construction In Progress-Roads, Highways &amp; Bridges</t>
  </si>
  <si>
    <t>Construction In Progress-Other Public Infrastructure</t>
  </si>
  <si>
    <t xml:space="preserve">Purchase of Form &amp; Fabrication of Reinforced concrete </t>
  </si>
  <si>
    <t xml:space="preserve">      pipe for road canals/culverts</t>
  </si>
  <si>
    <t>Amortization of Water System</t>
  </si>
  <si>
    <t>Total Capital Outlay</t>
  </si>
  <si>
    <t>TOTAL EXPENDITURES</t>
  </si>
  <si>
    <t>ESTIMATES</t>
  </si>
  <si>
    <t>(583+585+593+</t>
  </si>
  <si>
    <t>599)</t>
  </si>
  <si>
    <t>(588)</t>
  </si>
  <si>
    <t>(664+678+679)</t>
  </si>
  <si>
    <t>(634 to 642)</t>
  </si>
  <si>
    <t>(613 to 633)</t>
  </si>
  <si>
    <t>(601 to 609)</t>
  </si>
  <si>
    <t>SOCIAL SERVICES:</t>
  </si>
  <si>
    <t>CULTURE</t>
  </si>
  <si>
    <t>SPORTS</t>
  </si>
  <si>
    <t>MANPOWER DEV'T</t>
  </si>
  <si>
    <t>HEALTH</t>
  </si>
  <si>
    <t>NUTRITION</t>
  </si>
  <si>
    <t>ECONOMIC SERVICES:</t>
  </si>
  <si>
    <t>20% DF</t>
  </si>
  <si>
    <t>ECON. DEV'T</t>
  </si>
  <si>
    <t>RA 10068</t>
  </si>
  <si>
    <t>SEF</t>
  </si>
  <si>
    <t>Drugs &amp; Medicines Expense</t>
  </si>
  <si>
    <t>Repair &amp; Maintenance - Land Improvements</t>
  </si>
  <si>
    <t>Repair &amp; Maintenance - Agricultural, Fishery and Forestry Equip't</t>
  </si>
  <si>
    <t>Dep'n-Motor Vehicles</t>
  </si>
  <si>
    <t>Subsidy to NGOs/POs</t>
  </si>
  <si>
    <t>Subsidy from Other Funds</t>
  </si>
  <si>
    <t>Salaries &amp; Wages-Emergencies</t>
  </si>
  <si>
    <t>Honoraria</t>
  </si>
  <si>
    <t>Military and Police Supplies Expense</t>
  </si>
  <si>
    <t>Cooking Gas Expense</t>
  </si>
  <si>
    <t>Cable, Sattelite, Telegraph and Radio Expense</t>
  </si>
  <si>
    <t>Consultancy Services</t>
  </si>
  <si>
    <t>Transportation and Delivery Expense</t>
  </si>
  <si>
    <t>Representation Expense</t>
  </si>
  <si>
    <t>CERVANTES</t>
  </si>
  <si>
    <t>ACTUAL</t>
  </si>
  <si>
    <t>GENERAL SERVICES</t>
  </si>
  <si>
    <t>MSWO</t>
  </si>
  <si>
    <t>MHO</t>
  </si>
  <si>
    <t>MAG</t>
  </si>
  <si>
    <t>MENG</t>
  </si>
  <si>
    <t>ENVIRONMENTAL</t>
  </si>
  <si>
    <t>CBR</t>
  </si>
  <si>
    <t>ORGANIC AGRICULTURE</t>
  </si>
  <si>
    <t>CALAMITY</t>
  </si>
  <si>
    <t>AID TO BRGYS</t>
  </si>
  <si>
    <t>CHILD PROTECTION</t>
  </si>
  <si>
    <t>RA 8504 - AIDS</t>
  </si>
  <si>
    <t>CONTINUING</t>
  </si>
  <si>
    <t>RA 7171 2012</t>
  </si>
  <si>
    <t>RA 2013</t>
  </si>
  <si>
    <t>CONTINUING-RA 7171 2012</t>
  </si>
  <si>
    <t>Other Property Plant &amp; Equipment</t>
  </si>
  <si>
    <t>Internet Expense</t>
  </si>
  <si>
    <t>Library Books</t>
  </si>
  <si>
    <t>GRAND TOTAL</t>
  </si>
  <si>
    <t>TOTAL PS</t>
  </si>
  <si>
    <t>TOTAL MOOE</t>
  </si>
  <si>
    <t>TOTAL CAPITAL OUTLAY</t>
  </si>
  <si>
    <t>Capital Outlay</t>
  </si>
  <si>
    <t>Purchase of Office Equipments, Furniture &amp; Fixtures</t>
  </si>
  <si>
    <t>Fabrication of dog cage</t>
  </si>
  <si>
    <t>Repair of TB DOTS</t>
  </si>
  <si>
    <t>1ST SEMESTER</t>
  </si>
  <si>
    <t>ECONOMIC SERVICES</t>
  </si>
  <si>
    <t>SOCIAL SERVICES</t>
  </si>
  <si>
    <t>DEBT SERVICES</t>
  </si>
  <si>
    <t>Capital Expenditure for Local Economic Enterprises &amp; Deve't Projects</t>
  </si>
  <si>
    <t>Promotion of Organic Agriculture Program</t>
  </si>
  <si>
    <t>Amortization of Water System Loan</t>
  </si>
  <si>
    <t>Payment of LBP Loan for Rehab of Water system</t>
  </si>
  <si>
    <t>Labor Payroll for Org. Trading Center Mgt</t>
  </si>
  <si>
    <t>Labor Payroll for Job Orders</t>
  </si>
  <si>
    <t>Repair of damaged irrigation</t>
  </si>
  <si>
    <t>Counterpart Rehabilitation of Irrigation (Com. South)</t>
  </si>
  <si>
    <t>Promotion of Tourism</t>
  </si>
  <si>
    <t>Reforestation and Urban Greening Program</t>
  </si>
  <si>
    <t>Solid Waste Management Program</t>
  </si>
  <si>
    <t>Construction of Firelines</t>
  </si>
  <si>
    <t>Clean and Green Program</t>
  </si>
  <si>
    <t>Bench Marking of Municipal Officials &amp; Employees</t>
  </si>
  <si>
    <t>Barangay Aid</t>
  </si>
  <si>
    <t>Strengthening Local Council for the Protection of Children (RA 9344</t>
  </si>
  <si>
    <t xml:space="preserve">          Juvenile Justice &amp; Welfare Act)</t>
  </si>
  <si>
    <t>Acquired Immune Defeciency Syndrome (RA 8504)</t>
  </si>
  <si>
    <t>Senior Citizens</t>
  </si>
  <si>
    <t>Person With Disability</t>
  </si>
  <si>
    <t>General Revision</t>
  </si>
  <si>
    <t>Calamity Fund - 2014</t>
  </si>
  <si>
    <t>Calamity fund - 2013</t>
  </si>
  <si>
    <t>Calamity fund - 2011</t>
  </si>
  <si>
    <t>Purchase of School Lot &amp; Processing of Transfer for Zigzag Pines Elementary School</t>
  </si>
  <si>
    <t>Renovation/Improvement of Municipal Stage Phase I</t>
  </si>
  <si>
    <t>Appropriation No. 1 RA 7171-Continuing 2012</t>
  </si>
  <si>
    <t>Appropriation No. 4 RA 7171 Continuing 2012</t>
  </si>
  <si>
    <t>Construction of Brgy Hall Phase I at Sitio Namita</t>
  </si>
  <si>
    <t>Improvement of Kayan-Water System (Water Tank)-Pilipil</t>
  </si>
  <si>
    <t>Concreting of Agas-as FMR-Remedios</t>
  </si>
  <si>
    <t>Continuation of Brgy Hall-Rosario</t>
  </si>
  <si>
    <t>Construction of Water Tank at Organic Demo Farm (Counterpart to DA Project)</t>
  </si>
  <si>
    <t>Counterpart to Zigzag Water System</t>
  </si>
  <si>
    <t>Counterpart to Paang-Luyot-Tallawen-Licdasan-Angsaben Water System</t>
  </si>
  <si>
    <t>Appropriation No. 4 RA 7171 2013</t>
  </si>
  <si>
    <t>Continuation of Wet Market</t>
  </si>
  <si>
    <t>Continuation of Second Floor (Public Market)</t>
  </si>
  <si>
    <t>Continuation of Municipal Gymnasium</t>
  </si>
  <si>
    <t>Improvement of Public Market Building No. 2</t>
  </si>
  <si>
    <t>Concreting of CNHS Access Road-Rosario</t>
  </si>
  <si>
    <t>Continuation of Renovatrion of Municipal Bldg</t>
  </si>
  <si>
    <t>Fertilizer Subsidy to Farmers</t>
  </si>
  <si>
    <t>Continuing</t>
  </si>
  <si>
    <t>SUB-TOTAL</t>
  </si>
  <si>
    <t>PERIOD</t>
  </si>
  <si>
    <t>ACTIVITIES</t>
  </si>
  <si>
    <t>BUDGET ESTIMATE</t>
  </si>
  <si>
    <t>TAGET DATE</t>
  </si>
  <si>
    <t>PRE-DISASTER</t>
  </si>
  <si>
    <t>Maintenance of Disaster Risk Reduction</t>
  </si>
  <si>
    <t>Jan-Dec.</t>
  </si>
  <si>
    <t>Purchase of DRRM Equipment, stocks, medicines and</t>
  </si>
  <si>
    <t xml:space="preserve">     food supplies</t>
  </si>
  <si>
    <t xml:space="preserve">     Management Office and Disaster Operations Center</t>
  </si>
  <si>
    <t>2nd Qtr</t>
  </si>
  <si>
    <t>1st Qtr</t>
  </si>
  <si>
    <t>3rd Qtr</t>
  </si>
  <si>
    <t>Purchase of anti-dengue spray</t>
  </si>
  <si>
    <t>DURING</t>
  </si>
  <si>
    <t>DISASTER</t>
  </si>
  <si>
    <t xml:space="preserve">     families if needed</t>
  </si>
  <si>
    <t xml:space="preserve">Implementation of forced evacuation to affected </t>
  </si>
  <si>
    <t>As need arises</t>
  </si>
  <si>
    <t>Jan-Dec</t>
  </si>
  <si>
    <t>Conduct of relief and rescue operations to affected</t>
  </si>
  <si>
    <t xml:space="preserve">    individuals</t>
  </si>
  <si>
    <t>Provision of financial or material assistance to</t>
  </si>
  <si>
    <t xml:space="preserve">    victims of typhoons, earthquake, flooding and</t>
  </si>
  <si>
    <t xml:space="preserve">    other calamities especially to displaced families</t>
  </si>
  <si>
    <t>POST DISASTER</t>
  </si>
  <si>
    <t xml:space="preserve">    emergency response teams</t>
  </si>
  <si>
    <t>Preparation of DRRM report</t>
  </si>
  <si>
    <t xml:space="preserve">     calamities</t>
  </si>
  <si>
    <t>saao obligations</t>
  </si>
  <si>
    <t>Construction In Progress-Artesian Wells, Reservoir, Pumping Station &amp; Conduit</t>
  </si>
  <si>
    <t>Share from National Wealth</t>
  </si>
  <si>
    <t>Travelling Expenses-Foreign</t>
  </si>
  <si>
    <t>Depreciation-Land Improvements</t>
  </si>
  <si>
    <t>Special Education Tax</t>
  </si>
  <si>
    <t>economic</t>
  </si>
  <si>
    <t>social</t>
  </si>
  <si>
    <t>debt</t>
  </si>
  <si>
    <t>Capital Expenditure for Local Economic Enterprise &amp; Dev't Projects</t>
  </si>
  <si>
    <t>Office Buildings</t>
  </si>
  <si>
    <t>ACCOUNT CODE</t>
  </si>
  <si>
    <t>Purchase of self loading truck</t>
  </si>
  <si>
    <t>Training on Sustainable Agriculture</t>
  </si>
  <si>
    <t>Purchase of Garbage related equipment</t>
  </si>
  <si>
    <t>Incentive award of barangays with zero forest fire within CY 2015</t>
  </si>
  <si>
    <t>Cultural enhancement and festivities (Town Fiesta)</t>
  </si>
  <si>
    <t>Mass Wedding</t>
  </si>
  <si>
    <t>Anti-drug abuse program</t>
  </si>
  <si>
    <t>Purchase of additional lot for public cemetery</t>
  </si>
  <si>
    <t>Purchase of Lot for new slaughterhouse</t>
  </si>
  <si>
    <t>Cont'n of Participatory, Accountability, Responsibility and Transparency program in the barangays</t>
  </si>
  <si>
    <t>Declogging of canals &amp; weeding along main</t>
  </si>
  <si>
    <t xml:space="preserve">     thoroughfares (SPES)</t>
  </si>
  <si>
    <t xml:space="preserve">Conduct of skills training on rescue operations and </t>
  </si>
  <si>
    <t xml:space="preserve">   emergency response to disaster rescue team</t>
  </si>
  <si>
    <t>Capacity building activities for barangay officials and</t>
  </si>
  <si>
    <t xml:space="preserve">    other barangay-based workers on DRRM and CCA</t>
  </si>
  <si>
    <t>Food and Supplies for MDRMM Council</t>
  </si>
  <si>
    <t>Continuation of CBMS</t>
  </si>
  <si>
    <t>Payment of premiums on calamity insurance for rescue volunteers</t>
  </si>
  <si>
    <t>Provision of medical assistance to victims of calamity</t>
  </si>
  <si>
    <t>Conduct of post-disaster needs analysis (PDNA)</t>
  </si>
  <si>
    <t>Submit request for funding support to concerned</t>
  </si>
  <si>
    <t xml:space="preserve">     offices for rehabilitation activities of the LGU</t>
  </si>
  <si>
    <t>Self-help</t>
  </si>
  <si>
    <t xml:space="preserve">Repair and Rehabilitation of access roads, footbridges, </t>
  </si>
  <si>
    <t xml:space="preserve">     irrigations and government facilities damaged by</t>
  </si>
  <si>
    <t>Provision of incentive to disaster volunteers and</t>
  </si>
  <si>
    <t>Sub-Total</t>
  </si>
  <si>
    <t>Conduct of Day Care Services Program/SFP</t>
  </si>
  <si>
    <t>a</t>
  </si>
  <si>
    <t xml:space="preserve">Supervision and Monitoring of Day Care </t>
  </si>
  <si>
    <t xml:space="preserve">   Workers and Gasoline</t>
  </si>
  <si>
    <t>b.</t>
  </si>
  <si>
    <t>Purchase of Books/Programs materials</t>
  </si>
  <si>
    <t>Children Months Celebration</t>
  </si>
  <si>
    <t>c.</t>
  </si>
  <si>
    <t>d.</t>
  </si>
  <si>
    <t>Purchase of Office Equipments/Supplies</t>
  </si>
  <si>
    <t>Training/Workshop of Day Care Workers</t>
  </si>
  <si>
    <t>Implementation of RA 9262/RA 7610/RA 9344</t>
  </si>
  <si>
    <t>Medical assistance to children especially indigents</t>
  </si>
  <si>
    <t>paralegal and other assistance to victims of</t>
  </si>
  <si>
    <t xml:space="preserve">      RA 9262/RA 7610/RA 9344</t>
  </si>
  <si>
    <t xml:space="preserve">Travelling </t>
  </si>
  <si>
    <t>PROTECTION OF CHILDREN</t>
  </si>
  <si>
    <t>WOMEN PROGRAM</t>
  </si>
  <si>
    <t>ORGANIZATION OF WOMEN:</t>
  </si>
  <si>
    <t>GASOLINE</t>
  </si>
  <si>
    <t>SUPPLIES/EQUIPMENT</t>
  </si>
  <si>
    <t>TRAINING</t>
  </si>
  <si>
    <t>PERSON WITH DISABILITIES</t>
  </si>
  <si>
    <t>Continuous registration of PWDs to avail the</t>
  </si>
  <si>
    <t xml:space="preserve">  benefits of RA 9994</t>
  </si>
  <si>
    <t>a.</t>
  </si>
  <si>
    <t>Supplies</t>
  </si>
  <si>
    <t>Celebration of NRDP Week</t>
  </si>
  <si>
    <t>Travelling</t>
  </si>
  <si>
    <t>Food</t>
  </si>
  <si>
    <t>Assistive device/equipment</t>
  </si>
  <si>
    <t>Hearing Aide</t>
  </si>
  <si>
    <t>Cratches</t>
  </si>
  <si>
    <t>Canes</t>
  </si>
  <si>
    <t>SENIOR CITIZENS PROGRAM</t>
  </si>
  <si>
    <t>Celebration of Elderly Week and Christmas Program</t>
  </si>
  <si>
    <t>Uniform</t>
  </si>
  <si>
    <t>OUT OF SCHOOL YOUTH</t>
  </si>
  <si>
    <t>Gasoline</t>
  </si>
  <si>
    <t>Accommodations</t>
  </si>
  <si>
    <t>Trainings</t>
  </si>
  <si>
    <t>ALS</t>
  </si>
  <si>
    <t>COUNTERPART TO PANTAWID PAMILYA PILIPINO PROGRAM</t>
  </si>
  <si>
    <t>Maintenance of Motor</t>
  </si>
  <si>
    <t>Wages</t>
  </si>
  <si>
    <t>Equipment</t>
  </si>
  <si>
    <t>Communication</t>
  </si>
  <si>
    <t xml:space="preserve">FOOD </t>
  </si>
  <si>
    <t xml:space="preserve">         PYA</t>
  </si>
  <si>
    <t>(Proposed)</t>
  </si>
  <si>
    <t>4-01-01-050</t>
  </si>
  <si>
    <t>4-02-01-140</t>
  </si>
  <si>
    <t>4-01-02-040</t>
  </si>
  <si>
    <t>4-01-03-040</t>
  </si>
  <si>
    <t>Tax Revenue - Fines &amp; Penalties - Proper Taxes</t>
  </si>
  <si>
    <t>4-01-05-020</t>
  </si>
  <si>
    <t>Fees for Sealing and Licensing of Weight &amp; Measurer</t>
  </si>
  <si>
    <t>4-02-01-040</t>
  </si>
  <si>
    <t>4-02-01-160</t>
  </si>
  <si>
    <t>4-02-01-010</t>
  </si>
  <si>
    <t xml:space="preserve">Permit Fees </t>
  </si>
  <si>
    <t>4-02-01-020</t>
  </si>
  <si>
    <t>4-02-02-190</t>
  </si>
  <si>
    <t>4-02-01-100</t>
  </si>
  <si>
    <t>Hospital Fees (Medical, Dental &amp; Laboratory Fee)</t>
  </si>
  <si>
    <t>4-02-02-200</t>
  </si>
  <si>
    <t>4-02-01-130</t>
  </si>
  <si>
    <t>4-02-01-990</t>
  </si>
  <si>
    <t>4-02-01-980</t>
  </si>
  <si>
    <t>Communication Network Fees</t>
  </si>
  <si>
    <t>4-02-02-060</t>
  </si>
  <si>
    <t>4-02-02-140</t>
  </si>
  <si>
    <t>Receipts from Market Operations</t>
  </si>
  <si>
    <t>4-02-02-150</t>
  </si>
  <si>
    <t>Receipts from Slaughterhouse Operations</t>
  </si>
  <si>
    <t>Waterworks System Fees</t>
  </si>
  <si>
    <t>4-02-02-090</t>
  </si>
  <si>
    <t>4-02-02-120</t>
  </si>
  <si>
    <t>Parking Fees</t>
  </si>
  <si>
    <t>4-02-02-050</t>
  </si>
  <si>
    <t xml:space="preserve">    Stall Rooms</t>
  </si>
  <si>
    <t xml:space="preserve">    Heavy Equipment</t>
  </si>
  <si>
    <t>Fines &amp; Penalties - Business Income</t>
  </si>
  <si>
    <t>4-02-02-980</t>
  </si>
  <si>
    <t>Other Business Income</t>
  </si>
  <si>
    <t>4-02-02-990</t>
  </si>
  <si>
    <t>4-02-02-220</t>
  </si>
  <si>
    <t>Share from Internal Revenue Collection (IRA)</t>
  </si>
  <si>
    <t>4-01-06-010</t>
  </si>
  <si>
    <t>4-01-06-030</t>
  </si>
  <si>
    <t>4-06-01-010</t>
  </si>
  <si>
    <t>Share from Tobacco Excise Tax (RA 7171 &amp; 8240)</t>
  </si>
  <si>
    <t>Gain/Loss on Sale of Property, Plant &amp; Equipment</t>
  </si>
  <si>
    <t>4-05-01-050</t>
  </si>
  <si>
    <t>Occupation Fees</t>
  </si>
  <si>
    <t>Real Property Tax-Basic</t>
  </si>
  <si>
    <t>Receipts from Cemetery Operations</t>
  </si>
  <si>
    <t>4-02-02-160</t>
  </si>
  <si>
    <t>4-01-02-050</t>
  </si>
  <si>
    <t xml:space="preserve">Registration Fees </t>
  </si>
  <si>
    <t>5-01-01-010</t>
  </si>
  <si>
    <t>Salaries &amp; Wages-Casual/Contractual</t>
  </si>
  <si>
    <t>5-01-01-020</t>
  </si>
  <si>
    <t>5-01-02-010</t>
  </si>
  <si>
    <t>5-01-02-020</t>
  </si>
  <si>
    <t>5-01-02-030</t>
  </si>
  <si>
    <t>5-01-02-040</t>
  </si>
  <si>
    <t>Subsistence Allowance</t>
  </si>
  <si>
    <t>5-01-02-050</t>
  </si>
  <si>
    <t>5-01-02-080</t>
  </si>
  <si>
    <t>5-01-02-100</t>
  </si>
  <si>
    <t>5-01-02-110</t>
  </si>
  <si>
    <t>5-01-02-120</t>
  </si>
  <si>
    <t>5-01-02-150</t>
  </si>
  <si>
    <t>5-01-02-140</t>
  </si>
  <si>
    <t>Retirement and Life Insurance Premiums</t>
  </si>
  <si>
    <t>5-01-03-010</t>
  </si>
  <si>
    <t>5-01-03-020</t>
  </si>
  <si>
    <t>5-01-03-030</t>
  </si>
  <si>
    <t>5-01-03-040</t>
  </si>
  <si>
    <t>Employees Compensation Insurance Premiums</t>
  </si>
  <si>
    <t>5-01-04-030</t>
  </si>
  <si>
    <t>5-01-04-990</t>
  </si>
  <si>
    <t>5-02-01-010</t>
  </si>
  <si>
    <t>5-02-02-010</t>
  </si>
  <si>
    <t>Scholarship Grants/Expenses</t>
  </si>
  <si>
    <t>5-02-02-020</t>
  </si>
  <si>
    <t>5-02-03-010</t>
  </si>
  <si>
    <t>5-02-03-020</t>
  </si>
  <si>
    <t>5-02-03-080</t>
  </si>
  <si>
    <t>5-02-03-090</t>
  </si>
  <si>
    <t>5-02-03-100</t>
  </si>
  <si>
    <t>5-02-03-120</t>
  </si>
  <si>
    <t>5-02-03-990</t>
  </si>
  <si>
    <t>5-02-04-020</t>
  </si>
  <si>
    <t>5-02-05-010</t>
  </si>
  <si>
    <t>Postage and Courier Services</t>
  </si>
  <si>
    <t>5-02-05-030</t>
  </si>
  <si>
    <t>5-02-05-040</t>
  </si>
  <si>
    <t>Membership Dues and Contribution to Organizations</t>
  </si>
  <si>
    <t>5-02-99-060</t>
  </si>
  <si>
    <t>Awards/Rewards Expenses</t>
  </si>
  <si>
    <t>5-02-06-010</t>
  </si>
  <si>
    <t>5-02-99-010</t>
  </si>
  <si>
    <t>Advertising Expenses</t>
  </si>
  <si>
    <t>Cable, Sattelite, Telegraph and Radio Expenses</t>
  </si>
  <si>
    <t>Internet Subscription Expenses</t>
  </si>
  <si>
    <t>Electricity Expenses</t>
  </si>
  <si>
    <t>Other Supplies and Materials Expenses</t>
  </si>
  <si>
    <t>Military, Police and Traffic Supplies Expenses</t>
  </si>
  <si>
    <t>Agricultural and Marines Supplies Expenses</t>
  </si>
  <si>
    <t>Fuel, Oil &amp; Lubricants Expenses</t>
  </si>
  <si>
    <t>Medical , Dental and Laboratory Supplies Expenses</t>
  </si>
  <si>
    <t>Office Supplies Expenses</t>
  </si>
  <si>
    <t>5-02-99-020</t>
  </si>
  <si>
    <t>Rent Expenses</t>
  </si>
  <si>
    <t>5-02-99-050</t>
  </si>
  <si>
    <t>5-02-99-030</t>
  </si>
  <si>
    <t>Representation Expenses</t>
  </si>
  <si>
    <t>Survey Expenses</t>
  </si>
  <si>
    <t>5-02-07-010</t>
  </si>
  <si>
    <t>5-01-02-060</t>
  </si>
  <si>
    <t>Laundry Aloowances</t>
  </si>
  <si>
    <t>5-02-05-020</t>
  </si>
  <si>
    <t>Telephone Expenses</t>
  </si>
  <si>
    <t>5-02-06-020</t>
  </si>
  <si>
    <t>Prizes</t>
  </si>
  <si>
    <t>5-02-10-030</t>
  </si>
  <si>
    <t>Extraordinary and Miscellaneous Expenses</t>
  </si>
  <si>
    <t>Repairs &amp; Maintenance - Infrastructure Assets</t>
  </si>
  <si>
    <t>5-02-13-030</t>
  </si>
  <si>
    <t>5-02-13-040</t>
  </si>
  <si>
    <t>Repairs &amp; Maintenance - Machinery &amp; Equipment</t>
  </si>
  <si>
    <t>5-02-13-050</t>
  </si>
  <si>
    <t>5-02-13-060</t>
  </si>
  <si>
    <t>Repairs &amp; Maintenance - Furniture &amp; Fixtures</t>
  </si>
  <si>
    <t>5-02-13-070</t>
  </si>
  <si>
    <t>Transfers for Project Equity Share/LGU Counterpart</t>
  </si>
  <si>
    <t>5-02-15-020</t>
  </si>
  <si>
    <t>Taxes, Duties &amp; Licenses</t>
  </si>
  <si>
    <t>5-02-16-010</t>
  </si>
  <si>
    <t>Insurance Expenses</t>
  </si>
  <si>
    <t>5-02-16-030</t>
  </si>
  <si>
    <t>Printing and Publication Expenses</t>
  </si>
  <si>
    <t>5-02-99-080</t>
  </si>
  <si>
    <t>5-02-99-990</t>
  </si>
  <si>
    <t>Interest Expenses</t>
  </si>
  <si>
    <t>5-03-01-020</t>
  </si>
  <si>
    <t>5-03-01-990</t>
  </si>
  <si>
    <t>Repairs &amp; Maintenance - Transportation Equipment</t>
  </si>
  <si>
    <t>5-02-13-990</t>
  </si>
  <si>
    <t>Repair and Maintenance - Other Property, Plant and Equipment</t>
  </si>
  <si>
    <t>Repairs &amp; Maintenance - Buildings and Other Structures</t>
  </si>
  <si>
    <t>5-02-14-040</t>
  </si>
  <si>
    <t>5-02-16-020</t>
  </si>
  <si>
    <t>5-05-01-020</t>
  </si>
  <si>
    <t>Depreciation-Infrastructure Assets</t>
  </si>
  <si>
    <t>5-05-01-030</t>
  </si>
  <si>
    <t>5-05-01-040</t>
  </si>
  <si>
    <t>Depreciation-Buildings and Other Structures</t>
  </si>
  <si>
    <t>Depreciation-Machinery and Equipment</t>
  </si>
  <si>
    <t>5-05-01-050</t>
  </si>
  <si>
    <t>Depreciation-Transportation Equipment</t>
  </si>
  <si>
    <t>5-05-01-060</t>
  </si>
  <si>
    <t>5-05-01-070</t>
  </si>
  <si>
    <t>Depreciation-Furniture, Fixture and Equipment</t>
  </si>
  <si>
    <t>Depreciation-Other Property, Plant and Equipment</t>
  </si>
  <si>
    <t>5-05-01-990</t>
  </si>
  <si>
    <t>Discount on Real Property Tax - Basic</t>
  </si>
  <si>
    <t>4-01-02-041</t>
  </si>
  <si>
    <t>Technical and Scientific Equipment</t>
  </si>
  <si>
    <t>1-07-05-140</t>
  </si>
  <si>
    <t>1-07-07-010</t>
  </si>
  <si>
    <t>1-07-05-070</t>
  </si>
  <si>
    <t>1-07-99-990</t>
  </si>
  <si>
    <t>1-07-05-030</t>
  </si>
  <si>
    <t>Information and Communication Technology Equipment</t>
  </si>
  <si>
    <t>Power Supply System</t>
  </si>
  <si>
    <t>1-07-03-050</t>
  </si>
  <si>
    <t>1-07-10-030</t>
  </si>
  <si>
    <t>Construction in Progress-Buildings and Other Structures</t>
  </si>
  <si>
    <t>1-07-10-020</t>
  </si>
  <si>
    <t>Construction in Progress-Infrastructure Assets</t>
  </si>
  <si>
    <t>1-06-01-010</t>
  </si>
  <si>
    <t>Investment Property, Land</t>
  </si>
  <si>
    <t>5-02-11-030</t>
  </si>
  <si>
    <t>5-02-99-070</t>
  </si>
  <si>
    <t>Subscription Expenses</t>
  </si>
  <si>
    <t>Disaster Response and Rescue Equipment</t>
  </si>
  <si>
    <t>1-07-05-090</t>
  </si>
  <si>
    <t>Chemical and Filtering Supplies Expense</t>
  </si>
  <si>
    <t>Textbooks and Instructional Materials for Distribution</t>
  </si>
  <si>
    <t>1-04-02-080</t>
  </si>
  <si>
    <t>1-07-05-110</t>
  </si>
  <si>
    <t>Medical Equipment</t>
  </si>
  <si>
    <t>Welfare Goods Expense</t>
  </si>
  <si>
    <t>5-02-03-060</t>
  </si>
  <si>
    <t>5-02-03-130</t>
  </si>
  <si>
    <t>5-02-08-010</t>
  </si>
  <si>
    <t>Demolition and Relocation Expense</t>
  </si>
  <si>
    <t>Transportation and Delivery Expenses</t>
  </si>
  <si>
    <t>5-02-99-040</t>
  </si>
  <si>
    <t>5-02-03-110</t>
  </si>
  <si>
    <t>Textbooks and Instructional Materials Expenses</t>
  </si>
  <si>
    <t>BUDGET OF EXPENDITURES AND SOURCES OF FINANCING</t>
  </si>
  <si>
    <t xml:space="preserve">Budget Year </t>
  </si>
  <si>
    <t>Approved:</t>
  </si>
  <si>
    <t>We hereby certify that the information presented above are true and correct.  We further certify that the foregoing estimated receipts are reasonably projected as collectibe for the Budget Year 2017.</t>
  </si>
  <si>
    <t xml:space="preserve">PABLITO BENJAMIN P. MAGGAY II </t>
  </si>
  <si>
    <t xml:space="preserve">   Municipal Mayor   </t>
  </si>
  <si>
    <t xml:space="preserve"> </t>
  </si>
  <si>
    <t>MARY E. ALVIAR</t>
  </si>
  <si>
    <t>Municipal Planning and Development Coordinator</t>
  </si>
  <si>
    <t>Municipal Accountant</t>
  </si>
  <si>
    <r>
      <t xml:space="preserve">                       </t>
    </r>
    <r>
      <rPr>
        <b/>
        <sz val="11"/>
        <color indexed="8"/>
        <rFont val="Times New Roman"/>
        <family val="1"/>
      </rPr>
      <t xml:space="preserve">     ANGELITA B. SEBIO                 AIDA C. INIGO</t>
    </r>
  </si>
  <si>
    <t xml:space="preserve">                               Municipal Treasurer           Municipal Budget Officer</t>
  </si>
  <si>
    <t>Current Year Appropriation</t>
  </si>
  <si>
    <t xml:space="preserve">                          JOEFFREY P. DEL ROSARIO, CPA</t>
  </si>
  <si>
    <t>Other Bonuses and Allowances</t>
  </si>
  <si>
    <t>5-01-02-990</t>
  </si>
  <si>
    <t>PNP</t>
  </si>
  <si>
    <t>BFP</t>
  </si>
  <si>
    <t>1-07-06-010</t>
  </si>
  <si>
    <t>Purchase of Municipal Vehicle</t>
  </si>
  <si>
    <t>Counterpart to Assistance to Disadvantage Municipalities</t>
  </si>
  <si>
    <t>5-02-08-020</t>
  </si>
  <si>
    <t>Desilting and Dredging Expenses</t>
  </si>
  <si>
    <t>FDPP Form 1b - Annual Budget (Summary)</t>
  </si>
  <si>
    <t>(DBM LBP Form No. 3)</t>
  </si>
  <si>
    <t>LBP Form No. 2</t>
  </si>
  <si>
    <t>Annex D</t>
  </si>
  <si>
    <t>PROGRAMmed APPROPRIATION AND OBLIGATION BY OBJECT of expenditure</t>
  </si>
  <si>
    <r>
      <t xml:space="preserve">Office/Department     : </t>
    </r>
    <r>
      <rPr>
        <b/>
        <sz val="12"/>
        <color indexed="8"/>
        <rFont val="Times New Roman"/>
        <family val="1"/>
      </rPr>
      <t>MAYOR'S OFFICE</t>
    </r>
  </si>
  <si>
    <t xml:space="preserve">       OBJECT OF EXPENDITURES</t>
  </si>
  <si>
    <t>Account</t>
  </si>
  <si>
    <t>Past Year 2015</t>
  </si>
  <si>
    <t>Current Year 2016</t>
  </si>
  <si>
    <t>Budget Year 2017</t>
  </si>
  <si>
    <t xml:space="preserve">   Code</t>
  </si>
  <si>
    <t>(Actual)</t>
  </si>
  <si>
    <t>(Estimate)</t>
  </si>
  <si>
    <t>[1]</t>
  </si>
  <si>
    <t>[2]</t>
  </si>
  <si>
    <t>[3]</t>
  </si>
  <si>
    <t>[4]</t>
  </si>
  <si>
    <t>[5]</t>
  </si>
  <si>
    <t>[6]</t>
  </si>
  <si>
    <t>[7]</t>
  </si>
  <si>
    <t>1.0 CURRENT OPERATING EXPENDITURES</t>
  </si>
  <si>
    <r>
      <t xml:space="preserve">   </t>
    </r>
    <r>
      <rPr>
        <b/>
        <sz val="12"/>
        <color indexed="8"/>
        <rFont val="Times New Roman"/>
        <family val="1"/>
      </rPr>
      <t>1.1 PERSONAL SERVICES</t>
    </r>
  </si>
  <si>
    <t xml:space="preserve">        Salary</t>
  </si>
  <si>
    <t xml:space="preserve">        Life and Retirement Insurance Contributions</t>
  </si>
  <si>
    <t xml:space="preserve">        Monetization of  Vacation leave</t>
  </si>
  <si>
    <t xml:space="preserve">        PERA</t>
  </si>
  <si>
    <t xml:space="preserve">        Performance Based Bonus</t>
  </si>
  <si>
    <t xml:space="preserve">        Pag-ibig Premiums</t>
  </si>
  <si>
    <t xml:space="preserve">        PhilHealth Premiums</t>
  </si>
  <si>
    <t xml:space="preserve">        ECC Contributions</t>
  </si>
  <si>
    <t xml:space="preserve">        Midyear Bonus</t>
  </si>
  <si>
    <t>5-01- 02-140</t>
  </si>
  <si>
    <t xml:space="preserve">        Year-end Bonus</t>
  </si>
  <si>
    <t xml:space="preserve">        Cash Gift</t>
  </si>
  <si>
    <t xml:space="preserve"> 5- 01-02-150</t>
  </si>
  <si>
    <t xml:space="preserve">        Representation Allowance (RA)</t>
  </si>
  <si>
    <t>5- 01-02-020</t>
  </si>
  <si>
    <t xml:space="preserve">        Transportation Allowance (TA)</t>
  </si>
  <si>
    <t xml:space="preserve">        Uniform/Clothing Allowance</t>
  </si>
  <si>
    <t>5- 01-02-040</t>
  </si>
  <si>
    <t xml:space="preserve">        Loyalty Award</t>
  </si>
  <si>
    <t xml:space="preserve">        Subsistence Allowance</t>
  </si>
  <si>
    <t xml:space="preserve">        Laundry Allowance</t>
  </si>
  <si>
    <t xml:space="preserve">        Hazard Pay</t>
  </si>
  <si>
    <t xml:space="preserve">        Medical Check-up</t>
  </si>
  <si>
    <t xml:space="preserve">        Terminal Pay</t>
  </si>
  <si>
    <t>5-01-03.030</t>
  </si>
  <si>
    <t xml:space="preserve">         Productivity Incentive Bonus</t>
  </si>
  <si>
    <t xml:space="preserve">        Productivity Enhancement Incentive</t>
  </si>
  <si>
    <t xml:space="preserve">           TOTAL PERSONAL SERVICES</t>
  </si>
  <si>
    <t>1.2  Maintenance &amp; Other Operating Expenditures</t>
  </si>
  <si>
    <t xml:space="preserve">        Travelling Expenses</t>
  </si>
  <si>
    <t xml:space="preserve">        Supplies &amp; Materials</t>
  </si>
  <si>
    <t xml:space="preserve">        PNP a. Supplies &amp; Materials</t>
  </si>
  <si>
    <t xml:space="preserve">                 b. TEV</t>
  </si>
  <si>
    <t xml:space="preserve">        BFP Supplies &amp; Materials</t>
  </si>
  <si>
    <t xml:space="preserve">        Communication</t>
  </si>
  <si>
    <t xml:space="preserve">        Training &amp; Registration Expense</t>
  </si>
  <si>
    <t xml:space="preserve">        Gasoline, Oil  and Lubricants Expense</t>
  </si>
  <si>
    <t xml:space="preserve">        Discretionary Fund</t>
  </si>
  <si>
    <t>5/02/10-030</t>
  </si>
  <si>
    <t xml:space="preserve">        Repair &amp; Maintenance of Motor Vehicle</t>
  </si>
  <si>
    <t xml:space="preserve">        Electricity Expense</t>
  </si>
  <si>
    <t xml:space="preserve">            Repair &amp; Maintenance-Office Equipment, furniture &amp; IT</t>
  </si>
  <si>
    <t xml:space="preserve">        Registration/ Insurance of Government Properties</t>
  </si>
  <si>
    <t xml:space="preserve">        Other MOOE</t>
  </si>
  <si>
    <t xml:space="preserve">        Election Expenses</t>
  </si>
  <si>
    <t xml:space="preserve">        Consultancy fee</t>
  </si>
  <si>
    <t xml:space="preserve">        Skills Training</t>
  </si>
  <si>
    <t xml:space="preserve">        Counterpart to NGO/PO Project</t>
  </si>
  <si>
    <t xml:space="preserve">        Cervantes Poverty Alleviation and Development for</t>
  </si>
  <si>
    <t xml:space="preserve">                     Rural Economy (CERVANTES-PADRE)</t>
  </si>
  <si>
    <t xml:space="preserve">        LMP Annual Dues</t>
  </si>
  <si>
    <t xml:space="preserve">        Counterpart Pantawid Pamilya (4Ps)</t>
  </si>
  <si>
    <t xml:space="preserve">        Maintenance of Municipal Building</t>
  </si>
  <si>
    <t>PROGRAM  APPROPRIATION AND OBLIGATION BY OBJECT of expenditure</t>
  </si>
  <si>
    <t xml:space="preserve">        Maintenance of Heavy Equipment</t>
  </si>
  <si>
    <t xml:space="preserve">        Out of School Youth (OSY) Program</t>
  </si>
  <si>
    <t xml:space="preserve">        Alternative Learning System</t>
  </si>
  <si>
    <t xml:space="preserve">        Aid to Crisis Situation</t>
  </si>
  <si>
    <t xml:space="preserve">        Nutrition Program</t>
  </si>
  <si>
    <t xml:space="preserve">        Scholarship Program</t>
  </si>
  <si>
    <t xml:space="preserve">        Maintenance of Peace and Order</t>
  </si>
  <si>
    <t xml:space="preserve">        Maintenance of Slaughterhouse</t>
  </si>
  <si>
    <t xml:space="preserve">        Fedelity Bond</t>
  </si>
  <si>
    <t xml:space="preserve">        Preservation and Promotion of Culture &amp; Arts</t>
  </si>
  <si>
    <t xml:space="preserve">        Cable Expense</t>
  </si>
  <si>
    <t xml:space="preserve">        Internet Expenses</t>
  </si>
  <si>
    <t xml:space="preserve">        Representation Expense</t>
  </si>
  <si>
    <t xml:space="preserve">        Pole Rental</t>
  </si>
  <si>
    <t xml:space="preserve">        Cooking Gas Expense</t>
  </si>
  <si>
    <t xml:space="preserve">        Subscription Expense</t>
  </si>
  <si>
    <t xml:space="preserve">        Sports Development</t>
  </si>
  <si>
    <t xml:space="preserve">        Formulation &amp; Publication for ELA</t>
  </si>
  <si>
    <t xml:space="preserve">        Comprehensive Intervention Against Gender Violence </t>
  </si>
  <si>
    <t xml:space="preserve">        Community Newsletter </t>
  </si>
  <si>
    <t xml:space="preserve">         Livelihood</t>
  </si>
  <si>
    <t>1.3 CAPITAL OUTLAY</t>
  </si>
  <si>
    <t xml:space="preserve">        Purchase of Equipment &amp; Furniture</t>
  </si>
  <si>
    <t xml:space="preserve">        Purchase of Municipal Vehicle</t>
  </si>
  <si>
    <t xml:space="preserve">        Purchase &amp; Installation of Wifi Connection</t>
  </si>
  <si>
    <t xml:space="preserve">        Cable Upgrading</t>
  </si>
  <si>
    <t xml:space="preserve">                              GRAND TOTAL</t>
  </si>
  <si>
    <t>Prepared by:                                                                      Reviewed by:</t>
  </si>
  <si>
    <t xml:space="preserve">                             Approved by:</t>
  </si>
  <si>
    <t>PABLITO BENJAMIN P. MAGGAY II</t>
  </si>
  <si>
    <t xml:space="preserve">       AIDA C. IÑIGO</t>
  </si>
  <si>
    <t>Municipal Budget Officer</t>
  </si>
  <si>
    <t>Local Chief Executive</t>
  </si>
  <si>
    <t xml:space="preserve">              PROGRAMmed APPROPRIATION AND OBLIGATION BY OBJECT of expenditure</t>
  </si>
  <si>
    <r>
      <t xml:space="preserve">Office/Department    : </t>
    </r>
    <r>
      <rPr>
        <b/>
        <sz val="12"/>
        <color indexed="8"/>
        <rFont val="Times New Roman"/>
        <family val="1"/>
      </rPr>
      <t>MPDC OFFICE</t>
    </r>
  </si>
  <si>
    <t xml:space="preserve">     1.1  PERSONAL SERVICE</t>
  </si>
  <si>
    <t xml:space="preserve">        Mid-Year Bonus</t>
  </si>
  <si>
    <t xml:space="preserve">        Representation Allowance</t>
  </si>
  <si>
    <t xml:space="preserve">        Transportation Allowance</t>
  </si>
  <si>
    <t xml:space="preserve">        Uniform Allowance</t>
  </si>
  <si>
    <t xml:space="preserve"> 5-01-02-120</t>
  </si>
  <si>
    <t xml:space="preserve">        Productivity Incentive Bonus</t>
  </si>
  <si>
    <t>12</t>
  </si>
  <si>
    <t xml:space="preserve">           PROGRAMmed APPROPRIATION AND OBLIGATION BY OBJECT of expenditure</t>
  </si>
  <si>
    <t>1.2  MAINTENANCE &amp; OTHER OPERATING EXPENDITURES</t>
  </si>
  <si>
    <t xml:space="preserve">        Seminars/Training &amp; Registration Expense</t>
  </si>
  <si>
    <t xml:space="preserve">        Membership Dues</t>
  </si>
  <si>
    <t>2.0 CAPITAL OUTLAY</t>
  </si>
  <si>
    <t>.</t>
  </si>
  <si>
    <t>Prepared by:</t>
  </si>
  <si>
    <t>Reviewed by:</t>
  </si>
  <si>
    <t>AIDA C. IÑIGO</t>
  </si>
  <si>
    <t xml:space="preserve">   Municipal Planning &amp; Development Coordinator</t>
  </si>
  <si>
    <t>Municipal Chief Executive</t>
  </si>
  <si>
    <r>
      <t xml:space="preserve">Office/Department     : </t>
    </r>
    <r>
      <rPr>
        <b/>
        <sz val="12"/>
        <color indexed="8"/>
        <rFont val="Times New Roman"/>
        <family val="1"/>
      </rPr>
      <t>SANGGUNIANG BAYAN OFFICE</t>
    </r>
  </si>
  <si>
    <t xml:space="preserve">        Loyalty award</t>
  </si>
  <si>
    <t xml:space="preserve">       Terminal Pay</t>
  </si>
  <si>
    <t>10</t>
  </si>
  <si>
    <t>1.2  MAINTENANCE &amp; OTHER OPERATING                            EXPENDITURES</t>
  </si>
  <si>
    <t xml:space="preserve">        Traveling Expenses</t>
  </si>
  <si>
    <t xml:space="preserve">        Gasoline, Oil &amp; Lubricants Expense</t>
  </si>
  <si>
    <t xml:space="preserve">        Repair and Maintenance of Motor Vehicle</t>
  </si>
  <si>
    <t xml:space="preserve">        Miscellaneous  Expenses</t>
  </si>
  <si>
    <t xml:space="preserve">        Printing and Binding</t>
  </si>
  <si>
    <t xml:space="preserve">   </t>
  </si>
  <si>
    <t>ARMANDO P. GABURNO</t>
  </si>
  <si>
    <t xml:space="preserve">   Municipal Vice Mayor</t>
  </si>
  <si>
    <t>11</t>
  </si>
  <si>
    <t xml:space="preserve">       PROGRAMmed APPROPRIATION AND OBLIGATION BY OBJECT of expenditure</t>
  </si>
  <si>
    <r>
      <t xml:space="preserve">Office/Department    : </t>
    </r>
    <r>
      <rPr>
        <b/>
        <sz val="12"/>
        <color indexed="8"/>
        <rFont val="Times New Roman"/>
        <family val="1"/>
      </rPr>
      <t>TREASURY OFFICE</t>
    </r>
  </si>
  <si>
    <t>14</t>
  </si>
  <si>
    <t xml:space="preserve">        Accountable Forms</t>
  </si>
  <si>
    <t xml:space="preserve">         Fidelity Bond</t>
  </si>
  <si>
    <t xml:space="preserve">       Purchase of furniture and equipment</t>
  </si>
  <si>
    <t xml:space="preserve">                                  GRAND TOTAL</t>
  </si>
  <si>
    <t>ANGELITA B. SEBIO</t>
  </si>
  <si>
    <t xml:space="preserve">   Municipal Treasurer</t>
  </si>
  <si>
    <t>15</t>
  </si>
  <si>
    <t xml:space="preserve">                               PROGRAMmed APPROPRIATION AND OBLIGATION BY OBJECT of expenditure</t>
  </si>
  <si>
    <r>
      <t>Office/Department    :</t>
    </r>
    <r>
      <rPr>
        <b/>
        <sz val="12"/>
        <color indexed="8"/>
        <rFont val="Times New Roman"/>
        <family val="1"/>
      </rPr>
      <t xml:space="preserve"> MUNICIPAL ASSESSOR'S OFFICE</t>
    </r>
  </si>
  <si>
    <t xml:space="preserve">        Productivity  Incentive Bonus</t>
  </si>
  <si>
    <t>16</t>
  </si>
  <si>
    <t>ENGR. RUBEN S. LUCAS</t>
  </si>
  <si>
    <t xml:space="preserve">   Municipal Assessor</t>
  </si>
  <si>
    <t>17</t>
  </si>
  <si>
    <r>
      <t xml:space="preserve">Office/Department    : </t>
    </r>
    <r>
      <rPr>
        <b/>
        <sz val="12"/>
        <color indexed="8"/>
        <rFont val="Times New Roman"/>
        <family val="1"/>
      </rPr>
      <t>MUNICIPAL ACCOUNTANT'S  OFFICE</t>
    </r>
  </si>
  <si>
    <t>20</t>
  </si>
  <si>
    <t>JOEFFREY P. DEL ROSARIO, CPA</t>
  </si>
  <si>
    <t xml:space="preserve">   Municipal Accountant</t>
  </si>
  <si>
    <t>21</t>
  </si>
  <si>
    <r>
      <t>Office/Department    :</t>
    </r>
    <r>
      <rPr>
        <b/>
        <sz val="12"/>
        <color indexed="8"/>
        <rFont val="Times New Roman"/>
        <family val="1"/>
      </rPr>
      <t xml:space="preserve"> MUNICIPAL ENGINEER'S OFFICE</t>
    </r>
  </si>
  <si>
    <t>22</t>
  </si>
  <si>
    <t>ENGR.  EDISON C. SALVADOR</t>
  </si>
  <si>
    <t xml:space="preserve">   Municipal Engineer</t>
  </si>
  <si>
    <t>23</t>
  </si>
  <si>
    <r>
      <t xml:space="preserve">Office/Department    : </t>
    </r>
    <r>
      <rPr>
        <b/>
        <sz val="12"/>
        <color indexed="8"/>
        <rFont val="Times New Roman"/>
        <family val="1"/>
      </rPr>
      <t>MUNICIPAL CIVIL REGISTRAR</t>
    </r>
  </si>
  <si>
    <t>18</t>
  </si>
  <si>
    <t xml:space="preserve">        Purchase of Accountable Forms</t>
  </si>
  <si>
    <t xml:space="preserve">       Purchase of Office Equipment and Furnitures</t>
  </si>
  <si>
    <t>CHARITA R. GALIMBA</t>
  </si>
  <si>
    <t xml:space="preserve">   Municipal Civil Registrar</t>
  </si>
  <si>
    <t>19</t>
  </si>
  <si>
    <r>
      <t xml:space="preserve">Office/Department    : </t>
    </r>
    <r>
      <rPr>
        <b/>
        <sz val="12"/>
        <color indexed="8"/>
        <rFont val="Times New Roman"/>
        <family val="1"/>
      </rPr>
      <t>MUNICIPAL BUDGET OFFICER</t>
    </r>
  </si>
  <si>
    <t>24</t>
  </si>
  <si>
    <t>Prepared by &amp; Reviwed by:</t>
  </si>
  <si>
    <t xml:space="preserve">   Municipal Budget Officer</t>
  </si>
  <si>
    <t>25</t>
  </si>
  <si>
    <r>
      <t>Office/Department    :</t>
    </r>
    <r>
      <rPr>
        <b/>
        <sz val="12"/>
        <color indexed="8"/>
        <rFont val="Times New Roman"/>
        <family val="1"/>
      </rPr>
      <t xml:space="preserve"> MSWDO</t>
    </r>
  </si>
  <si>
    <t>26</t>
  </si>
  <si>
    <t xml:space="preserve"> PROGRAMmed APPROPRIATION AND OBLIGATION BY OBJECT of expenditure</t>
  </si>
  <si>
    <r>
      <t xml:space="preserve">Office/Department    : </t>
    </r>
    <r>
      <rPr>
        <b/>
        <sz val="12"/>
        <color indexed="8"/>
        <rFont val="Times New Roman"/>
        <family val="1"/>
      </rPr>
      <t>MSWDO</t>
    </r>
  </si>
  <si>
    <t xml:space="preserve">        Incentives of 90 years &amp; above Senior Citizens</t>
  </si>
  <si>
    <t xml:space="preserve">                             Ordinance #328</t>
  </si>
  <si>
    <t>JOSEPHINE S. ALVARO</t>
  </si>
  <si>
    <t xml:space="preserve">   Municipal Social Welfare &amp; Development Officer</t>
  </si>
  <si>
    <t>27</t>
  </si>
  <si>
    <t>Office/Department    :MUNICIPAL AGRICULTURE OFFICE</t>
  </si>
  <si>
    <t>28</t>
  </si>
  <si>
    <r>
      <t>Office/Department    :</t>
    </r>
    <r>
      <rPr>
        <b/>
        <sz val="12"/>
        <color indexed="8"/>
        <rFont val="Times New Roman"/>
        <family val="1"/>
      </rPr>
      <t xml:space="preserve"> MUNICIPAL AGRICULTURE OFFICE</t>
    </r>
  </si>
  <si>
    <t>CECILIA N. SAWEY</t>
  </si>
  <si>
    <t xml:space="preserve">   Municipal Agriculturist</t>
  </si>
  <si>
    <t>29</t>
  </si>
  <si>
    <r>
      <t>Office/Department    :</t>
    </r>
    <r>
      <rPr>
        <b/>
        <sz val="12"/>
        <color indexed="8"/>
        <rFont val="Times New Roman"/>
        <family val="1"/>
      </rPr>
      <t xml:space="preserve"> MUNICIPAL HEALTH OFFICE</t>
    </r>
  </si>
  <si>
    <t xml:space="preserve">                   [1]</t>
  </si>
  <si>
    <t>30</t>
  </si>
  <si>
    <r>
      <t xml:space="preserve">Office/Department    : </t>
    </r>
    <r>
      <rPr>
        <b/>
        <sz val="12"/>
        <color indexed="8"/>
        <rFont val="Times New Roman"/>
        <family val="1"/>
      </rPr>
      <t>MUNICIPAL HEALTH OFFICE</t>
    </r>
  </si>
  <si>
    <t>GAUDENCIO T. BUSTILLO, M.D.</t>
  </si>
  <si>
    <t xml:space="preserve">   Municipal Health Officer</t>
  </si>
  <si>
    <t>31</t>
  </si>
  <si>
    <r>
      <t xml:space="preserve">Office/Department    : </t>
    </r>
    <r>
      <rPr>
        <b/>
        <sz val="12"/>
        <color indexed="8"/>
        <rFont val="Times New Roman"/>
        <family val="1"/>
      </rPr>
      <t>OFFICE OF THE AUDITOR</t>
    </r>
  </si>
  <si>
    <t xml:space="preserve">        Travelling Expenses-Local</t>
  </si>
  <si>
    <t xml:space="preserve">        Office Supplies Expenses</t>
  </si>
  <si>
    <t xml:space="preserve">        Telephone Expenses-Landline</t>
  </si>
  <si>
    <t xml:space="preserve">        Printing and Binding Expenses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</si>
</sst>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5" x14ac:knownFonts="1"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3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sz val="11"/>
      <color theme="0"/>
      <name val="Times New Roman"/>
      <family val="1"/>
    </font>
    <font>
      <sz val="11"/>
      <color theme="0"/>
      <name val="Times New Roman"/>
      <family val="1"/>
    </font>
    <font>
      <b/>
      <sz val="9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3"/>
      <color theme="1"/>
      <name val="Times New Roman"/>
      <family val="1"/>
    </font>
    <font>
      <b/>
      <sz val="14"/>
      <color theme="1"/>
      <name val="Showcard Gothic"/>
      <family val="5"/>
    </font>
    <font>
      <b/>
      <sz val="12"/>
      <color theme="1"/>
      <name val="Times New Roman"/>
      <family val="1"/>
    </font>
    <font>
      <b/>
      <sz val="12"/>
      <color theme="1"/>
      <name val="Showcard Gothic"/>
      <family val="5"/>
    </font>
    <font>
      <sz val="12"/>
      <color theme="1"/>
      <name val="Arial"/>
      <family val="2"/>
    </font>
    <font>
      <b/>
      <sz val="13"/>
      <color theme="1"/>
      <name val="Times New Roman"/>
      <family val="1"/>
    </font>
    <font>
      <b/>
      <sz val="14"/>
      <color theme="1"/>
      <name val="Calibri"/>
      <family val="2"/>
      <scheme val="minor"/>
    </font>
    <font>
      <b/>
      <sz val="16"/>
      <color theme="1"/>
      <name val="Georgia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379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0" fillId="0" borderId="1" xfId="0" applyBorder="1" applyAlignment="1"/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1" fillId="0" borderId="0" xfId="0" applyFont="1"/>
    <xf numFmtId="0" fontId="10" fillId="0" borderId="3" xfId="0" applyFont="1" applyBorder="1" applyAlignment="1">
      <alignment horizontal="center"/>
    </xf>
    <xf numFmtId="0" fontId="0" fillId="0" borderId="5" xfId="0" applyBorder="1"/>
    <xf numFmtId="43" fontId="7" fillId="0" borderId="5" xfId="1" applyFont="1" applyBorder="1"/>
    <xf numFmtId="0" fontId="0" fillId="0" borderId="5" xfId="0" quotePrefix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1" xfId="0" applyFont="1" applyBorder="1" applyAlignment="1"/>
    <xf numFmtId="0" fontId="10" fillId="0" borderId="4" xfId="0" applyFont="1" applyBorder="1" applyAlignment="1">
      <alignment horizontal="center"/>
    </xf>
    <xf numFmtId="43" fontId="0" fillId="0" borderId="0" xfId="0" applyNumberFormat="1"/>
    <xf numFmtId="0" fontId="12" fillId="0" borderId="0" xfId="0" applyFont="1" applyBorder="1"/>
    <xf numFmtId="0" fontId="0" fillId="0" borderId="0" xfId="0" applyBorder="1"/>
    <xf numFmtId="0" fontId="10" fillId="0" borderId="6" xfId="0" applyFont="1" applyBorder="1"/>
    <xf numFmtId="43" fontId="10" fillId="0" borderId="6" xfId="0" applyNumberFormat="1" applyFont="1" applyBorder="1"/>
    <xf numFmtId="0" fontId="10" fillId="0" borderId="7" xfId="0" applyFont="1" applyBorder="1"/>
    <xf numFmtId="0" fontId="0" fillId="0" borderId="7" xfId="0" applyBorder="1" applyAlignment="1">
      <alignment horizontal="center"/>
    </xf>
    <xf numFmtId="43" fontId="10" fillId="0" borderId="7" xfId="1" applyFont="1" applyBorder="1"/>
    <xf numFmtId="0" fontId="13" fillId="0" borderId="8" xfId="0" applyFont="1" applyBorder="1"/>
    <xf numFmtId="0" fontId="12" fillId="0" borderId="8" xfId="0" applyFont="1" applyBorder="1"/>
    <xf numFmtId="43" fontId="13" fillId="0" borderId="8" xfId="1" applyFont="1" applyBorder="1"/>
    <xf numFmtId="0" fontId="12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2" fillId="0" borderId="12" xfId="0" applyFont="1" applyBorder="1"/>
    <xf numFmtId="0" fontId="12" fillId="0" borderId="13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3" xfId="0" applyFont="1" applyBorder="1"/>
    <xf numFmtId="43" fontId="12" fillId="0" borderId="13" xfId="1" applyFont="1" applyBorder="1"/>
    <xf numFmtId="43" fontId="12" fillId="0" borderId="14" xfId="1" applyFont="1" applyBorder="1"/>
    <xf numFmtId="43" fontId="12" fillId="2" borderId="13" xfId="1" applyFont="1" applyFill="1" applyBorder="1"/>
    <xf numFmtId="0" fontId="14" fillId="0" borderId="15" xfId="0" applyFont="1" applyBorder="1"/>
    <xf numFmtId="0" fontId="14" fillId="0" borderId="9" xfId="0" applyFont="1" applyBorder="1"/>
    <xf numFmtId="0" fontId="14" fillId="0" borderId="10" xfId="0" applyFont="1" applyBorder="1"/>
    <xf numFmtId="0" fontId="14" fillId="0" borderId="16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43" fontId="14" fillId="0" borderId="16" xfId="1" applyFont="1" applyBorder="1"/>
    <xf numFmtId="43" fontId="14" fillId="0" borderId="13" xfId="1" applyFont="1" applyBorder="1"/>
    <xf numFmtId="43" fontId="14" fillId="0" borderId="14" xfId="1" applyFont="1" applyBorder="1"/>
    <xf numFmtId="0" fontId="0" fillId="0" borderId="9" xfId="0" applyBorder="1"/>
    <xf numFmtId="0" fontId="0" fillId="0" borderId="11" xfId="0" applyBorder="1"/>
    <xf numFmtId="43" fontId="7" fillId="0" borderId="13" xfId="1" applyFont="1" applyBorder="1"/>
    <xf numFmtId="43" fontId="7" fillId="0" borderId="14" xfId="1" applyFont="1" applyBorder="1"/>
    <xf numFmtId="43" fontId="12" fillId="2" borderId="14" xfId="1" applyFont="1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2" fillId="0" borderId="17" xfId="0" applyFont="1" applyBorder="1"/>
    <xf numFmtId="0" fontId="12" fillId="0" borderId="18" xfId="0" applyFont="1" applyBorder="1"/>
    <xf numFmtId="0" fontId="12" fillId="0" borderId="5" xfId="0" applyFont="1" applyBorder="1"/>
    <xf numFmtId="43" fontId="13" fillId="0" borderId="5" xfId="1" applyFont="1" applyBorder="1"/>
    <xf numFmtId="0" fontId="12" fillId="0" borderId="19" xfId="0" applyFont="1" applyBorder="1"/>
    <xf numFmtId="0" fontId="12" fillId="0" borderId="20" xfId="0" applyFont="1" applyBorder="1"/>
    <xf numFmtId="43" fontId="13" fillId="0" borderId="20" xfId="1" applyFont="1" applyBorder="1"/>
    <xf numFmtId="0" fontId="10" fillId="0" borderId="3" xfId="0" applyFont="1" applyBorder="1" applyAlignment="1">
      <alignment horizontal="center"/>
    </xf>
    <xf numFmtId="43" fontId="7" fillId="0" borderId="0" xfId="1" applyFont="1"/>
    <xf numFmtId="0" fontId="10" fillId="0" borderId="5" xfId="0" applyFont="1" applyBorder="1"/>
    <xf numFmtId="43" fontId="10" fillId="0" borderId="5" xfId="1" applyFont="1" applyBorder="1"/>
    <xf numFmtId="43" fontId="7" fillId="0" borderId="5" xfId="1" applyFont="1" applyBorder="1" applyAlignment="1">
      <alignment horizontal="center"/>
    </xf>
    <xf numFmtId="0" fontId="15" fillId="0" borderId="5" xfId="0" applyFont="1" applyBorder="1"/>
    <xf numFmtId="0" fontId="12" fillId="0" borderId="5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43" fontId="14" fillId="0" borderId="5" xfId="1" applyFont="1" applyBorder="1"/>
    <xf numFmtId="0" fontId="14" fillId="0" borderId="5" xfId="0" applyFont="1" applyBorder="1"/>
    <xf numFmtId="43" fontId="12" fillId="0" borderId="5" xfId="1" applyFont="1" applyBorder="1"/>
    <xf numFmtId="0" fontId="16" fillId="0" borderId="14" xfId="0" applyFont="1" applyBorder="1"/>
    <xf numFmtId="0" fontId="14" fillId="0" borderId="14" xfId="0" applyFont="1" applyBorder="1" applyAlignment="1">
      <alignment horizontal="center"/>
    </xf>
    <xf numFmtId="0" fontId="0" fillId="0" borderId="14" xfId="0" applyBorder="1"/>
    <xf numFmtId="43" fontId="12" fillId="0" borderId="13" xfId="1" quotePrefix="1" applyFont="1" applyBorder="1" applyAlignment="1">
      <alignment horizontal="right"/>
    </xf>
    <xf numFmtId="0" fontId="10" fillId="0" borderId="21" xfId="0" applyFont="1" applyBorder="1"/>
    <xf numFmtId="43" fontId="10" fillId="0" borderId="21" xfId="1" applyFont="1" applyBorder="1"/>
    <xf numFmtId="0" fontId="12" fillId="0" borderId="5" xfId="0" applyFont="1" applyFill="1" applyBorder="1"/>
    <xf numFmtId="43" fontId="0" fillId="0" borderId="5" xfId="0" applyNumberFormat="1" applyBorder="1"/>
    <xf numFmtId="43" fontId="0" fillId="0" borderId="14" xfId="0" applyNumberFormat="1" applyBorder="1"/>
    <xf numFmtId="0" fontId="13" fillId="0" borderId="21" xfId="0" applyFont="1" applyFill="1" applyBorder="1"/>
    <xf numFmtId="0" fontId="10" fillId="0" borderId="22" xfId="0" applyFont="1" applyBorder="1"/>
    <xf numFmtId="43" fontId="10" fillId="0" borderId="22" xfId="0" applyNumberFormat="1" applyFont="1" applyBorder="1"/>
    <xf numFmtId="0" fontId="13" fillId="0" borderId="23" xfId="0" applyFont="1" applyFill="1" applyBorder="1"/>
    <xf numFmtId="0" fontId="12" fillId="0" borderId="13" xfId="0" applyFont="1" applyFill="1" applyBorder="1"/>
    <xf numFmtId="43" fontId="0" fillId="0" borderId="0" xfId="0" applyNumberFormat="1" applyBorder="1"/>
    <xf numFmtId="0" fontId="10" fillId="0" borderId="24" xfId="0" applyFont="1" applyBorder="1"/>
    <xf numFmtId="0" fontId="10" fillId="0" borderId="0" xfId="0" applyFont="1" applyFill="1" applyBorder="1"/>
    <xf numFmtId="0" fontId="0" fillId="0" borderId="24" xfId="0" applyBorder="1"/>
    <xf numFmtId="0" fontId="17" fillId="0" borderId="0" xfId="0" applyFont="1"/>
    <xf numFmtId="0" fontId="0" fillId="0" borderId="22" xfId="0" applyBorder="1"/>
    <xf numFmtId="0" fontId="0" fillId="0" borderId="22" xfId="0" applyFill="1" applyBorder="1"/>
    <xf numFmtId="0" fontId="10" fillId="0" borderId="0" xfId="0" applyFont="1"/>
    <xf numFmtId="43" fontId="10" fillId="0" borderId="24" xfId="1" applyFont="1" applyBorder="1"/>
    <xf numFmtId="0" fontId="12" fillId="0" borderId="10" xfId="0" applyFont="1" applyBorder="1" applyAlignment="1">
      <alignment shrinkToFit="1"/>
    </xf>
    <xf numFmtId="43" fontId="12" fillId="0" borderId="10" xfId="1" applyFont="1" applyFill="1" applyBorder="1"/>
    <xf numFmtId="43" fontId="12" fillId="0" borderId="0" xfId="1" applyFont="1" applyFill="1" applyBorder="1"/>
    <xf numFmtId="43" fontId="12" fillId="0" borderId="10" xfId="1" applyFont="1" applyBorder="1"/>
    <xf numFmtId="43" fontId="14" fillId="0" borderId="10" xfId="1" applyFont="1" applyFill="1" applyBorder="1"/>
    <xf numFmtId="43" fontId="14" fillId="0" borderId="0" xfId="1" applyFont="1" applyFill="1" applyBorder="1"/>
    <xf numFmtId="0" fontId="12" fillId="0" borderId="25" xfId="0" applyFont="1" applyBorder="1"/>
    <xf numFmtId="0" fontId="12" fillId="0" borderId="26" xfId="0" applyFont="1" applyBorder="1"/>
    <xf numFmtId="0" fontId="13" fillId="0" borderId="27" xfId="0" applyFont="1" applyBorder="1" applyAlignment="1">
      <alignment horizontal="center"/>
    </xf>
    <xf numFmtId="43" fontId="13" fillId="0" borderId="27" xfId="1" applyFont="1" applyBorder="1" applyAlignment="1">
      <alignment horizontal="center"/>
    </xf>
    <xf numFmtId="43" fontId="13" fillId="0" borderId="27" xfId="0" applyNumberFormat="1" applyFont="1" applyBorder="1" applyAlignment="1">
      <alignment horizontal="center"/>
    </xf>
    <xf numFmtId="0" fontId="12" fillId="0" borderId="28" xfId="0" applyFont="1" applyBorder="1"/>
    <xf numFmtId="0" fontId="12" fillId="0" borderId="29" xfId="0" applyFont="1" applyBorder="1"/>
    <xf numFmtId="43" fontId="12" fillId="0" borderId="29" xfId="1" applyFont="1" applyBorder="1"/>
    <xf numFmtId="0" fontId="12" fillId="0" borderId="30" xfId="0" applyFont="1" applyBorder="1"/>
    <xf numFmtId="43" fontId="13" fillId="0" borderId="31" xfId="1" applyFont="1" applyBorder="1"/>
    <xf numFmtId="0" fontId="12" fillId="0" borderId="32" xfId="0" applyFont="1" applyBorder="1"/>
    <xf numFmtId="0" fontId="12" fillId="0" borderId="33" xfId="0" applyFont="1" applyBorder="1"/>
    <xf numFmtId="0" fontId="14" fillId="0" borderId="34" xfId="0" applyFont="1" applyBorder="1"/>
    <xf numFmtId="0" fontId="14" fillId="0" borderId="28" xfId="0" applyFont="1" applyBorder="1"/>
    <xf numFmtId="0" fontId="0" fillId="0" borderId="28" xfId="0" applyBorder="1"/>
    <xf numFmtId="0" fontId="0" fillId="0" borderId="33" xfId="0" applyBorder="1"/>
    <xf numFmtId="0" fontId="10" fillId="0" borderId="32" xfId="0" applyFont="1" applyBorder="1"/>
    <xf numFmtId="0" fontId="12" fillId="0" borderId="9" xfId="0" applyFont="1" applyBorder="1" applyAlignment="1">
      <alignment horizontal="center"/>
    </xf>
    <xf numFmtId="43" fontId="12" fillId="0" borderId="9" xfId="1" applyFont="1" applyBorder="1"/>
    <xf numFmtId="0" fontId="18" fillId="0" borderId="10" xfId="0" applyFont="1" applyBorder="1"/>
    <xf numFmtId="0" fontId="19" fillId="0" borderId="35" xfId="0" applyFont="1" applyBorder="1"/>
    <xf numFmtId="0" fontId="12" fillId="0" borderId="36" xfId="0" applyFont="1" applyBorder="1"/>
    <xf numFmtId="0" fontId="13" fillId="0" borderId="9" xfId="0" applyFont="1" applyBorder="1"/>
    <xf numFmtId="0" fontId="13" fillId="0" borderId="17" xfId="0" applyFont="1" applyBorder="1"/>
    <xf numFmtId="0" fontId="13" fillId="0" borderId="37" xfId="0" applyFont="1" applyBorder="1"/>
    <xf numFmtId="43" fontId="12" fillId="0" borderId="27" xfId="1" applyFont="1" applyBorder="1"/>
    <xf numFmtId="43" fontId="12" fillId="0" borderId="38" xfId="1" applyFont="1" applyBorder="1"/>
    <xf numFmtId="43" fontId="13" fillId="0" borderId="39" xfId="1" applyFont="1" applyBorder="1"/>
    <xf numFmtId="0" fontId="14" fillId="0" borderId="32" xfId="0" applyFont="1" applyBorder="1"/>
    <xf numFmtId="43" fontId="14" fillId="0" borderId="9" xfId="1" applyFont="1" applyBorder="1"/>
    <xf numFmtId="0" fontId="0" fillId="0" borderId="25" xfId="0" applyBorder="1"/>
    <xf numFmtId="0" fontId="0" fillId="0" borderId="36" xfId="0" applyBorder="1"/>
    <xf numFmtId="0" fontId="0" fillId="0" borderId="27" xfId="0" applyBorder="1" applyAlignment="1">
      <alignment horizontal="center"/>
    </xf>
    <xf numFmtId="43" fontId="7" fillId="0" borderId="27" xfId="1" applyFont="1" applyBorder="1"/>
    <xf numFmtId="43" fontId="7" fillId="0" borderId="0" xfId="1" applyFont="1"/>
    <xf numFmtId="43" fontId="7" fillId="0" borderId="0" xfId="1" applyFont="1"/>
    <xf numFmtId="43" fontId="10" fillId="0" borderId="22" xfId="1" applyFont="1" applyBorder="1"/>
    <xf numFmtId="0" fontId="0" fillId="0" borderId="0" xfId="0" applyAlignment="1">
      <alignment horizontal="center"/>
    </xf>
    <xf numFmtId="43" fontId="7" fillId="0" borderId="0" xfId="1" applyFont="1"/>
    <xf numFmtId="43" fontId="10" fillId="0" borderId="0" xfId="1" applyFont="1"/>
    <xf numFmtId="43" fontId="10" fillId="0" borderId="0" xfId="0" applyNumberFormat="1" applyFont="1"/>
    <xf numFmtId="0" fontId="12" fillId="0" borderId="0" xfId="0" applyFont="1" applyBorder="1" applyAlignment="1">
      <alignment horizontal="center"/>
    </xf>
    <xf numFmtId="43" fontId="12" fillId="0" borderId="0" xfId="1" applyFont="1" applyBorder="1"/>
    <xf numFmtId="0" fontId="0" fillId="0" borderId="0" xfId="0" applyBorder="1" applyAlignment="1">
      <alignment horizontal="center"/>
    </xf>
    <xf numFmtId="43" fontId="7" fillId="0" borderId="0" xfId="1" applyFont="1" applyBorder="1"/>
    <xf numFmtId="0" fontId="18" fillId="0" borderId="26" xfId="0" applyFont="1" applyBorder="1"/>
    <xf numFmtId="0" fontId="10" fillId="0" borderId="40" xfId="0" applyFont="1" applyBorder="1"/>
    <xf numFmtId="0" fontId="10" fillId="0" borderId="41" xfId="0" applyFont="1" applyBorder="1"/>
    <xf numFmtId="0" fontId="13" fillId="0" borderId="22" xfId="0" applyFont="1" applyBorder="1"/>
    <xf numFmtId="0" fontId="0" fillId="0" borderId="22" xfId="0" applyBorder="1" applyAlignment="1">
      <alignment horizontal="center"/>
    </xf>
    <xf numFmtId="43" fontId="7" fillId="0" borderId="22" xfId="1" applyFont="1" applyBorder="1"/>
    <xf numFmtId="0" fontId="14" fillId="0" borderId="0" xfId="0" applyFont="1" applyBorder="1"/>
    <xf numFmtId="0" fontId="14" fillId="0" borderId="9" xfId="0" applyFont="1" applyBorder="1" applyAlignment="1">
      <alignment horizontal="center"/>
    </xf>
    <xf numFmtId="43" fontId="14" fillId="0" borderId="0" xfId="1" applyFont="1" applyBorder="1"/>
    <xf numFmtId="43" fontId="11" fillId="0" borderId="13" xfId="1" applyFont="1" applyBorder="1"/>
    <xf numFmtId="0" fontId="13" fillId="0" borderId="36" xfId="0" applyFont="1" applyBorder="1"/>
    <xf numFmtId="0" fontId="12" fillId="0" borderId="27" xfId="0" applyFont="1" applyBorder="1"/>
    <xf numFmtId="0" fontId="0" fillId="0" borderId="40" xfId="0" applyBorder="1"/>
    <xf numFmtId="0" fontId="0" fillId="0" borderId="41" xfId="0" applyBorder="1"/>
    <xf numFmtId="43" fontId="12" fillId="0" borderId="0" xfId="1" quotePrefix="1" applyFont="1" applyBorder="1" applyAlignment="1">
      <alignment horizontal="right"/>
    </xf>
    <xf numFmtId="43" fontId="11" fillId="0" borderId="9" xfId="1" applyFont="1" applyBorder="1"/>
    <xf numFmtId="0" fontId="0" fillId="0" borderId="42" xfId="0" applyBorder="1"/>
    <xf numFmtId="0" fontId="12" fillId="0" borderId="37" xfId="0" applyFont="1" applyBorder="1"/>
    <xf numFmtId="0" fontId="12" fillId="0" borderId="7" xfId="0" applyFont="1" applyBorder="1"/>
    <xf numFmtId="0" fontId="12" fillId="0" borderId="37" xfId="0" applyFont="1" applyBorder="1" applyAlignment="1">
      <alignment horizontal="center"/>
    </xf>
    <xf numFmtId="43" fontId="12" fillId="0" borderId="37" xfId="1" applyFont="1" applyBorder="1"/>
    <xf numFmtId="43" fontId="12" fillId="0" borderId="20" xfId="1" quotePrefix="1" applyFont="1" applyBorder="1" applyAlignment="1">
      <alignment horizontal="right"/>
    </xf>
    <xf numFmtId="43" fontId="12" fillId="0" borderId="39" xfId="1" applyFont="1" applyBorder="1"/>
    <xf numFmtId="0" fontId="0" fillId="0" borderId="7" xfId="0" applyBorder="1"/>
    <xf numFmtId="43" fontId="0" fillId="0" borderId="7" xfId="0" applyNumberFormat="1" applyBorder="1"/>
    <xf numFmtId="43" fontId="12" fillId="0" borderId="27" xfId="1" quotePrefix="1" applyFont="1" applyBorder="1" applyAlignment="1">
      <alignment horizontal="right"/>
    </xf>
    <xf numFmtId="43" fontId="0" fillId="0" borderId="42" xfId="0" applyNumberFormat="1" applyBorder="1"/>
    <xf numFmtId="0" fontId="12" fillId="0" borderId="20" xfId="0" applyFont="1" applyBorder="1" applyAlignment="1">
      <alignment horizontal="center"/>
    </xf>
    <xf numFmtId="43" fontId="12" fillId="0" borderId="20" xfId="1" applyFont="1" applyBorder="1"/>
    <xf numFmtId="43" fontId="12" fillId="0" borderId="19" xfId="1" applyFont="1" applyFill="1" applyBorder="1"/>
    <xf numFmtId="0" fontId="12" fillId="0" borderId="27" xfId="0" applyFont="1" applyBorder="1" applyAlignment="1">
      <alignment horizontal="center"/>
    </xf>
    <xf numFmtId="0" fontId="14" fillId="0" borderId="7" xfId="0" applyFont="1" applyBorder="1"/>
    <xf numFmtId="0" fontId="14" fillId="0" borderId="20" xfId="0" applyFont="1" applyBorder="1" applyAlignment="1">
      <alignment horizontal="center"/>
    </xf>
    <xf numFmtId="43" fontId="14" fillId="0" borderId="7" xfId="1" applyFont="1" applyBorder="1"/>
    <xf numFmtId="43" fontId="14" fillId="0" borderId="20" xfId="1" applyFont="1" applyBorder="1"/>
    <xf numFmtId="43" fontId="12" fillId="0" borderId="7" xfId="1" quotePrefix="1" applyFont="1" applyBorder="1" applyAlignment="1">
      <alignment horizontal="right"/>
    </xf>
    <xf numFmtId="43" fontId="12" fillId="0" borderId="26" xfId="1" applyFont="1" applyFill="1" applyBorder="1"/>
    <xf numFmtId="43" fontId="14" fillId="0" borderId="19" xfId="1" applyFont="1" applyFill="1" applyBorder="1"/>
    <xf numFmtId="43" fontId="7" fillId="0" borderId="7" xfId="1" applyFont="1" applyBorder="1"/>
    <xf numFmtId="0" fontId="14" fillId="0" borderId="37" xfId="0" applyFont="1" applyBorder="1"/>
    <xf numFmtId="0" fontId="14" fillId="0" borderId="25" xfId="0" applyFont="1" applyBorder="1"/>
    <xf numFmtId="0" fontId="14" fillId="0" borderId="42" xfId="0" applyFont="1" applyBorder="1"/>
    <xf numFmtId="0" fontId="14" fillId="0" borderId="27" xfId="0" applyFont="1" applyBorder="1" applyAlignment="1">
      <alignment horizontal="center"/>
    </xf>
    <xf numFmtId="43" fontId="14" fillId="0" borderId="42" xfId="1" applyFont="1" applyBorder="1"/>
    <xf numFmtId="43" fontId="14" fillId="0" borderId="27" xfId="1" applyFont="1" applyBorder="1"/>
    <xf numFmtId="43" fontId="12" fillId="0" borderId="42" xfId="1" quotePrefix="1" applyFont="1" applyBorder="1" applyAlignment="1">
      <alignment horizontal="right"/>
    </xf>
    <xf numFmtId="43" fontId="7" fillId="0" borderId="42" xfId="1" applyFont="1" applyBorder="1"/>
    <xf numFmtId="0" fontId="0" fillId="0" borderId="32" xfId="0" applyBorder="1"/>
    <xf numFmtId="0" fontId="0" fillId="0" borderId="37" xfId="0" applyBorder="1"/>
    <xf numFmtId="0" fontId="14" fillId="0" borderId="19" xfId="0" applyFont="1" applyBorder="1"/>
    <xf numFmtId="43" fontId="11" fillId="0" borderId="20" xfId="1" applyFont="1" applyBorder="1"/>
    <xf numFmtId="0" fontId="14" fillId="0" borderId="26" xfId="0" applyFont="1" applyBorder="1"/>
    <xf numFmtId="43" fontId="11" fillId="0" borderId="27" xfId="1" applyFont="1" applyBorder="1"/>
    <xf numFmtId="0" fontId="14" fillId="0" borderId="36" xfId="0" applyFont="1" applyBorder="1"/>
    <xf numFmtId="0" fontId="8" fillId="0" borderId="0" xfId="0" applyFont="1"/>
    <xf numFmtId="43" fontId="20" fillId="0" borderId="18" xfId="1" applyFont="1" applyBorder="1"/>
    <xf numFmtId="43" fontId="20" fillId="0" borderId="19" xfId="1" applyFont="1" applyBorder="1"/>
    <xf numFmtId="43" fontId="20" fillId="0" borderId="8" xfId="1" applyFont="1" applyBorder="1"/>
    <xf numFmtId="43" fontId="8" fillId="0" borderId="0" xfId="0" applyNumberFormat="1" applyFont="1"/>
    <xf numFmtId="43" fontId="9" fillId="0" borderId="22" xfId="1" applyFont="1" applyBorder="1"/>
    <xf numFmtId="43" fontId="8" fillId="0" borderId="22" xfId="1" applyFont="1" applyBorder="1"/>
    <xf numFmtId="0" fontId="0" fillId="0" borderId="0" xfId="0" applyAlignment="1">
      <alignment horizontal="right"/>
    </xf>
    <xf numFmtId="0" fontId="13" fillId="0" borderId="1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2" fillId="0" borderId="38" xfId="0" applyFont="1" applyBorder="1"/>
    <xf numFmtId="0" fontId="12" fillId="0" borderId="43" xfId="0" applyFont="1" applyBorder="1"/>
    <xf numFmtId="0" fontId="12" fillId="0" borderId="44" xfId="0" applyFont="1" applyBorder="1"/>
    <xf numFmtId="0" fontId="12" fillId="0" borderId="0" xfId="0" applyFont="1"/>
    <xf numFmtId="0" fontId="21" fillId="0" borderId="0" xfId="0" applyFont="1"/>
    <xf numFmtId="43" fontId="21" fillId="0" borderId="0" xfId="1" applyFont="1"/>
    <xf numFmtId="0" fontId="13" fillId="0" borderId="0" xfId="0" applyFont="1"/>
    <xf numFmtId="43" fontId="12" fillId="0" borderId="0" xfId="0" applyNumberFormat="1" applyFont="1"/>
    <xf numFmtId="43" fontId="12" fillId="0" borderId="0" xfId="1" applyFont="1"/>
    <xf numFmtId="0" fontId="0" fillId="0" borderId="0" xfId="0" applyFont="1"/>
    <xf numFmtId="0" fontId="22" fillId="0" borderId="2" xfId="0" applyFont="1" applyBorder="1" applyAlignment="1">
      <alignment horizontal="center"/>
    </xf>
    <xf numFmtId="43" fontId="7" fillId="0" borderId="0" xfId="1" applyFont="1"/>
    <xf numFmtId="43" fontId="11" fillId="0" borderId="0" xfId="1" applyFont="1"/>
    <xf numFmtId="43" fontId="14" fillId="0" borderId="0" xfId="1" applyFont="1"/>
    <xf numFmtId="43" fontId="12" fillId="0" borderId="29" xfId="0" applyNumberFormat="1" applyFont="1" applyBorder="1"/>
    <xf numFmtId="0" fontId="10" fillId="0" borderId="0" xfId="0" applyFont="1" applyBorder="1"/>
    <xf numFmtId="43" fontId="10" fillId="0" borderId="0" xfId="0" applyNumberFormat="1" applyFont="1" applyBorder="1"/>
    <xf numFmtId="43" fontId="23" fillId="0" borderId="0" xfId="1" applyFont="1"/>
    <xf numFmtId="43" fontId="24" fillId="0" borderId="0" xfId="1" applyFont="1"/>
    <xf numFmtId="0" fontId="25" fillId="0" borderId="12" xfId="0" applyFont="1" applyBorder="1"/>
    <xf numFmtId="43" fontId="26" fillId="0" borderId="0" xfId="1" applyFont="1"/>
    <xf numFmtId="43" fontId="7" fillId="0" borderId="0" xfId="1" applyFont="1"/>
    <xf numFmtId="43" fontId="12" fillId="0" borderId="39" xfId="0" applyNumberFormat="1" applyFont="1" applyBorder="1"/>
    <xf numFmtId="0" fontId="13" fillId="0" borderId="38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43" fontId="10" fillId="0" borderId="45" xfId="1" applyFont="1" applyBorder="1"/>
    <xf numFmtId="43" fontId="10" fillId="0" borderId="39" xfId="1" applyFont="1" applyBorder="1"/>
    <xf numFmtId="0" fontId="13" fillId="0" borderId="46" xfId="0" applyFont="1" applyBorder="1" applyAlignment="1">
      <alignment horizontal="center"/>
    </xf>
    <xf numFmtId="43" fontId="13" fillId="0" borderId="18" xfId="1" applyFont="1" applyBorder="1"/>
    <xf numFmtId="43" fontId="10" fillId="0" borderId="47" xfId="1" applyFont="1" applyBorder="1"/>
    <xf numFmtId="43" fontId="10" fillId="0" borderId="19" xfId="1" applyFont="1" applyBorder="1"/>
    <xf numFmtId="43" fontId="10" fillId="0" borderId="7" xfId="0" applyNumberFormat="1" applyFont="1" applyBorder="1"/>
    <xf numFmtId="0" fontId="12" fillId="0" borderId="48" xfId="0" applyFont="1" applyBorder="1"/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25" fillId="0" borderId="0" xfId="0" applyFont="1"/>
    <xf numFmtId="39" fontId="27" fillId="0" borderId="0" xfId="0" applyNumberFormat="1" applyFont="1"/>
    <xf numFmtId="39" fontId="25" fillId="0" borderId="0" xfId="0" applyNumberFormat="1" applyFont="1" applyAlignment="1">
      <alignment horizontal="right"/>
    </xf>
    <xf numFmtId="39" fontId="28" fillId="0" borderId="0" xfId="0" applyNumberFormat="1" applyFont="1" applyAlignment="1">
      <alignment horizontal="center"/>
    </xf>
    <xf numFmtId="0" fontId="14" fillId="0" borderId="0" xfId="0" applyFont="1"/>
    <xf numFmtId="39" fontId="14" fillId="0" borderId="0" xfId="0" applyNumberFormat="1" applyFont="1"/>
    <xf numFmtId="39" fontId="29" fillId="0" borderId="16" xfId="0" applyNumberFormat="1" applyFont="1" applyBorder="1" applyAlignment="1">
      <alignment horizontal="center"/>
    </xf>
    <xf numFmtId="39" fontId="29" fillId="0" borderId="13" xfId="0" applyNumberFormat="1" applyFont="1" applyBorder="1" applyAlignment="1">
      <alignment horizontal="center"/>
    </xf>
    <xf numFmtId="39" fontId="29" fillId="0" borderId="13" xfId="0" quotePrefix="1" applyNumberFormat="1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39" fontId="29" fillId="0" borderId="14" xfId="0" applyNumberFormat="1" applyFont="1" applyBorder="1" applyAlignment="1">
      <alignment horizontal="center"/>
    </xf>
    <xf numFmtId="39" fontId="29" fillId="0" borderId="14" xfId="0" quotePrefix="1" applyNumberFormat="1" applyFont="1" applyBorder="1" applyAlignment="1">
      <alignment horizontal="center"/>
    </xf>
    <xf numFmtId="0" fontId="29" fillId="0" borderId="16" xfId="0" applyFont="1" applyBorder="1"/>
    <xf numFmtId="39" fontId="14" fillId="0" borderId="16" xfId="0" applyNumberFormat="1" applyFont="1" applyBorder="1"/>
    <xf numFmtId="0" fontId="14" fillId="0" borderId="13" xfId="0" applyFont="1" applyFill="1" applyBorder="1"/>
    <xf numFmtId="39" fontId="14" fillId="0" borderId="13" xfId="0" applyNumberFormat="1" applyFont="1" applyBorder="1"/>
    <xf numFmtId="37" fontId="14" fillId="0" borderId="13" xfId="0" applyNumberFormat="1" applyFont="1" applyBorder="1" applyAlignment="1">
      <alignment horizontal="center"/>
    </xf>
    <xf numFmtId="0" fontId="29" fillId="0" borderId="14" xfId="0" applyFont="1" applyBorder="1"/>
    <xf numFmtId="39" fontId="3" fillId="0" borderId="14" xfId="0" applyNumberFormat="1" applyFont="1" applyBorder="1"/>
    <xf numFmtId="39" fontId="29" fillId="0" borderId="14" xfId="0" applyNumberFormat="1" applyFont="1" applyBorder="1"/>
    <xf numFmtId="0" fontId="27" fillId="0" borderId="0" xfId="0" applyFont="1"/>
    <xf numFmtId="39" fontId="14" fillId="0" borderId="0" xfId="0" quotePrefix="1" applyNumberFormat="1" applyFont="1" applyAlignment="1">
      <alignment horizontal="right"/>
    </xf>
    <xf numFmtId="39" fontId="30" fillId="0" borderId="0" xfId="0" applyNumberFormat="1" applyFont="1" applyAlignment="1">
      <alignment horizontal="center"/>
    </xf>
    <xf numFmtId="0" fontId="25" fillId="0" borderId="13" xfId="0" applyFont="1" applyFill="1" applyBorder="1" applyAlignment="1">
      <alignment horizontal="left"/>
    </xf>
    <xf numFmtId="0" fontId="14" fillId="0" borderId="13" xfId="0" applyFont="1" applyBorder="1"/>
    <xf numFmtId="39" fontId="14" fillId="0" borderId="13" xfId="0" applyNumberFormat="1" applyFont="1" applyBorder="1" applyAlignment="1">
      <alignment horizontal="center"/>
    </xf>
    <xf numFmtId="43" fontId="14" fillId="0" borderId="10" xfId="1" applyFont="1" applyBorder="1"/>
    <xf numFmtId="0" fontId="29" fillId="0" borderId="14" xfId="0" applyFont="1" applyFill="1" applyBorder="1" applyAlignment="1">
      <alignment horizontal="left"/>
    </xf>
    <xf numFmtId="39" fontId="29" fillId="0" borderId="11" xfId="0" applyNumberFormat="1" applyFont="1" applyBorder="1"/>
    <xf numFmtId="0" fontId="29" fillId="0" borderId="0" xfId="0" applyFont="1" applyFill="1" applyBorder="1" applyAlignment="1">
      <alignment horizontal="left"/>
    </xf>
    <xf numFmtId="0" fontId="14" fillId="0" borderId="0" xfId="0" applyFont="1" applyBorder="1" applyAlignment="1">
      <alignment horizontal="center"/>
    </xf>
    <xf numFmtId="39" fontId="29" fillId="0" borderId="0" xfId="0" applyNumberFormat="1" applyFont="1" applyBorder="1"/>
    <xf numFmtId="39" fontId="14" fillId="0" borderId="0" xfId="0" quotePrefix="1" applyNumberFormat="1" applyFont="1" applyBorder="1" applyAlignment="1">
      <alignment horizontal="right"/>
    </xf>
    <xf numFmtId="39" fontId="14" fillId="0" borderId="49" xfId="0" applyNumberFormat="1" applyFont="1" applyBorder="1"/>
    <xf numFmtId="0" fontId="29" fillId="0" borderId="13" xfId="0" applyFont="1" applyBorder="1"/>
    <xf numFmtId="39" fontId="14" fillId="0" borderId="9" xfId="0" applyNumberFormat="1" applyFont="1" applyBorder="1"/>
    <xf numFmtId="39" fontId="14" fillId="0" borderId="10" xfId="0" applyNumberFormat="1" applyFont="1" applyBorder="1"/>
    <xf numFmtId="0" fontId="14" fillId="0" borderId="14" xfId="0" applyFont="1" applyFill="1" applyBorder="1"/>
    <xf numFmtId="43" fontId="14" fillId="0" borderId="11" xfId="1" applyFont="1" applyBorder="1"/>
    <xf numFmtId="43" fontId="14" fillId="0" borderId="12" xfId="1" applyFont="1" applyBorder="1"/>
    <xf numFmtId="0" fontId="14" fillId="0" borderId="0" xfId="0" applyFont="1" applyFill="1" applyBorder="1"/>
    <xf numFmtId="0" fontId="14" fillId="0" borderId="16" xfId="0" applyFont="1" applyBorder="1"/>
    <xf numFmtId="0" fontId="14" fillId="0" borderId="9" xfId="0" applyFont="1" applyFill="1" applyBorder="1"/>
    <xf numFmtId="0" fontId="29" fillId="0" borderId="9" xfId="0" applyFont="1" applyFill="1" applyBorder="1" applyAlignment="1">
      <alignment horizontal="center"/>
    </xf>
    <xf numFmtId="39" fontId="29" fillId="0" borderId="13" xfId="0" applyNumberFormat="1" applyFont="1" applyBorder="1"/>
    <xf numFmtId="39" fontId="14" fillId="0" borderId="0" xfId="0" applyNumberFormat="1" applyFont="1" applyBorder="1"/>
    <xf numFmtId="0" fontId="29" fillId="0" borderId="13" xfId="0" applyFont="1" applyFill="1" applyBorder="1" applyAlignment="1">
      <alignment horizontal="center"/>
    </xf>
    <xf numFmtId="0" fontId="29" fillId="0" borderId="14" xfId="0" applyFont="1" applyFill="1" applyBorder="1"/>
    <xf numFmtId="0" fontId="29" fillId="0" borderId="0" xfId="0" applyFont="1" applyAlignment="1">
      <alignment horizontal="center"/>
    </xf>
    <xf numFmtId="39" fontId="29" fillId="0" borderId="0" xfId="0" applyNumberFormat="1" applyFont="1"/>
    <xf numFmtId="0" fontId="19" fillId="0" borderId="0" xfId="0" applyFont="1" applyAlignment="1">
      <alignment horizontal="center"/>
    </xf>
    <xf numFmtId="39" fontId="19" fillId="0" borderId="0" xfId="0" applyNumberFormat="1" applyFont="1"/>
    <xf numFmtId="39" fontId="19" fillId="0" borderId="0" xfId="0" applyNumberFormat="1" applyFont="1" applyAlignment="1">
      <alignment horizontal="center"/>
    </xf>
    <xf numFmtId="39" fontId="14" fillId="0" borderId="0" xfId="0" applyNumberFormat="1" applyFont="1" applyBorder="1" applyAlignment="1">
      <alignment horizontal="right"/>
    </xf>
    <xf numFmtId="0" fontId="29" fillId="0" borderId="13" xfId="0" applyFont="1" applyFill="1" applyBorder="1"/>
    <xf numFmtId="37" fontId="29" fillId="0" borderId="14" xfId="0" applyNumberFormat="1" applyFont="1" applyBorder="1" applyAlignment="1">
      <alignment horizontal="center"/>
    </xf>
    <xf numFmtId="43" fontId="29" fillId="0" borderId="14" xfId="1" applyFont="1" applyBorder="1"/>
    <xf numFmtId="0" fontId="29" fillId="0" borderId="0" xfId="0" applyFont="1" applyBorder="1"/>
    <xf numFmtId="37" fontId="29" fillId="0" borderId="0" xfId="0" applyNumberFormat="1" applyFont="1" applyBorder="1" applyAlignment="1">
      <alignment horizontal="center"/>
    </xf>
    <xf numFmtId="43" fontId="29" fillId="0" borderId="0" xfId="1" applyFont="1" applyBorder="1"/>
    <xf numFmtId="0" fontId="29" fillId="0" borderId="9" xfId="0" applyFont="1" applyBorder="1" applyAlignment="1">
      <alignment horizontal="center"/>
    </xf>
    <xf numFmtId="39" fontId="29" fillId="0" borderId="9" xfId="0" applyNumberFormat="1" applyFont="1" applyBorder="1" applyAlignment="1">
      <alignment horizontal="center"/>
    </xf>
    <xf numFmtId="39" fontId="29" fillId="0" borderId="10" xfId="0" applyNumberFormat="1" applyFont="1" applyBorder="1" applyAlignment="1">
      <alignment horizontal="center"/>
    </xf>
    <xf numFmtId="0" fontId="29" fillId="0" borderId="13" xfId="0" applyFont="1" applyBorder="1" applyAlignment="1">
      <alignment wrapText="1"/>
    </xf>
    <xf numFmtId="43" fontId="29" fillId="0" borderId="13" xfId="1" applyFont="1" applyBorder="1"/>
    <xf numFmtId="39" fontId="14" fillId="0" borderId="14" xfId="0" applyNumberFormat="1" applyFont="1" applyBorder="1"/>
    <xf numFmtId="39" fontId="6" fillId="0" borderId="0" xfId="0" applyNumberFormat="1" applyFont="1"/>
    <xf numFmtId="39" fontId="19" fillId="0" borderId="0" xfId="0" applyNumberFormat="1" applyFont="1" applyAlignment="1"/>
    <xf numFmtId="0" fontId="13" fillId="0" borderId="13" xfId="0" applyFont="1" applyBorder="1" applyAlignment="1">
      <alignment wrapText="1"/>
    </xf>
    <xf numFmtId="0" fontId="31" fillId="0" borderId="0" xfId="0" applyFont="1"/>
    <xf numFmtId="39" fontId="31" fillId="0" borderId="0" xfId="0" applyNumberFormat="1" applyFont="1"/>
    <xf numFmtId="0" fontId="29" fillId="0" borderId="9" xfId="0" applyFont="1" applyBorder="1"/>
    <xf numFmtId="0" fontId="29" fillId="0" borderId="9" xfId="0" applyFont="1" applyFill="1" applyBorder="1"/>
    <xf numFmtId="0" fontId="29" fillId="0" borderId="11" xfId="0" applyFont="1" applyBorder="1"/>
    <xf numFmtId="39" fontId="29" fillId="0" borderId="12" xfId="0" applyNumberFormat="1" applyFont="1" applyBorder="1"/>
    <xf numFmtId="0" fontId="29" fillId="0" borderId="16" xfId="0" applyFont="1" applyBorder="1" applyAlignment="1">
      <alignment wrapText="1"/>
    </xf>
    <xf numFmtId="39" fontId="28" fillId="0" borderId="0" xfId="0" applyNumberFormat="1" applyFont="1" applyAlignment="1"/>
    <xf numFmtId="39" fontId="32" fillId="0" borderId="0" xfId="0" applyNumberFormat="1" applyFont="1" applyAlignment="1">
      <alignment horizontal="center"/>
    </xf>
    <xf numFmtId="0" fontId="6" fillId="0" borderId="0" xfId="0" applyFont="1"/>
    <xf numFmtId="37" fontId="14" fillId="0" borderId="14" xfId="0" applyNumberFormat="1" applyFont="1" applyBorder="1" applyAlignment="1">
      <alignment horizontal="center"/>
    </xf>
    <xf numFmtId="37" fontId="14" fillId="0" borderId="0" xfId="0" applyNumberFormat="1" applyFont="1" applyBorder="1" applyAlignment="1">
      <alignment horizontal="center"/>
    </xf>
    <xf numFmtId="39" fontId="14" fillId="0" borderId="0" xfId="0" quotePrefix="1" applyNumberFormat="1" applyFont="1" applyAlignment="1">
      <alignment horizontal="left"/>
    </xf>
    <xf numFmtId="0" fontId="32" fillId="0" borderId="0" xfId="0" applyFont="1" applyAlignment="1">
      <alignment horizontal="center"/>
    </xf>
    <xf numFmtId="39" fontId="14" fillId="0" borderId="15" xfId="0" applyNumberFormat="1" applyFont="1" applyBorder="1"/>
    <xf numFmtId="43" fontId="29" fillId="0" borderId="10" xfId="1" applyFont="1" applyBorder="1"/>
    <xf numFmtId="39" fontId="29" fillId="0" borderId="10" xfId="0" applyNumberFormat="1" applyFont="1" applyBorder="1"/>
    <xf numFmtId="39" fontId="3" fillId="0" borderId="0" xfId="0" applyNumberFormat="1" applyFont="1"/>
    <xf numFmtId="0" fontId="32" fillId="0" borderId="0" xfId="0" applyFont="1"/>
    <xf numFmtId="39" fontId="32" fillId="0" borderId="0" xfId="0" applyNumberFormat="1" applyFont="1"/>
    <xf numFmtId="0" fontId="29" fillId="0" borderId="16" xfId="0" applyFont="1" applyBorder="1" applyAlignment="1">
      <alignment horizontal="center"/>
    </xf>
    <xf numFmtId="0" fontId="32" fillId="0" borderId="0" xfId="0" applyFont="1" applyBorder="1"/>
    <xf numFmtId="39" fontId="32" fillId="0" borderId="0" xfId="0" applyNumberFormat="1" applyFont="1" applyBorder="1"/>
    <xf numFmtId="43" fontId="32" fillId="0" borderId="0" xfId="1" applyFont="1" applyBorder="1"/>
    <xf numFmtId="0" fontId="3" fillId="0" borderId="0" xfId="0" applyFont="1"/>
    <xf numFmtId="0" fontId="10" fillId="0" borderId="50" xfId="0" applyFont="1" applyBorder="1" applyAlignment="1">
      <alignment horizontal="center"/>
    </xf>
    <xf numFmtId="0" fontId="10" fillId="0" borderId="52" xfId="0" applyFont="1" applyBorder="1" applyAlignment="1">
      <alignment horizontal="center"/>
    </xf>
    <xf numFmtId="0" fontId="10" fillId="0" borderId="51" xfId="0" applyFont="1" applyBorder="1" applyAlignment="1">
      <alignment horizontal="center"/>
    </xf>
    <xf numFmtId="0" fontId="10" fillId="0" borderId="4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2" xfId="0" applyBorder="1" applyAlignment="1">
      <alignment horizontal="center"/>
    </xf>
    <xf numFmtId="0" fontId="33" fillId="0" borderId="0" xfId="0" applyFont="1" applyAlignment="1">
      <alignment horizontal="center"/>
    </xf>
    <xf numFmtId="39" fontId="28" fillId="0" borderId="0" xfId="0" applyNumberFormat="1" applyFont="1" applyAlignment="1">
      <alignment horizontal="center"/>
    </xf>
    <xf numFmtId="0" fontId="29" fillId="0" borderId="16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39" fontId="29" fillId="0" borderId="17" xfId="0" applyNumberFormat="1" applyFont="1" applyBorder="1" applyAlignment="1">
      <alignment horizontal="center"/>
    </xf>
    <xf numFmtId="39" fontId="29" fillId="0" borderId="8" xfId="0" applyNumberFormat="1" applyFont="1" applyBorder="1" applyAlignment="1">
      <alignment horizontal="center"/>
    </xf>
    <xf numFmtId="39" fontId="29" fillId="0" borderId="18" xfId="0" applyNumberFormat="1" applyFont="1" applyBorder="1" applyAlignment="1">
      <alignment horizontal="center"/>
    </xf>
    <xf numFmtId="39" fontId="29" fillId="0" borderId="16" xfId="0" applyNumberFormat="1" applyFont="1" applyBorder="1" applyAlignment="1">
      <alignment horizontal="center" vertical="center"/>
    </xf>
    <xf numFmtId="39" fontId="29" fillId="0" borderId="13" xfId="0" applyNumberFormat="1" applyFont="1" applyBorder="1" applyAlignment="1">
      <alignment horizontal="center" vertical="center"/>
    </xf>
    <xf numFmtId="39" fontId="30" fillId="0" borderId="0" xfId="0" applyNumberFormat="1" applyFont="1" applyAlignment="1">
      <alignment horizontal="center"/>
    </xf>
    <xf numFmtId="39" fontId="29" fillId="0" borderId="0" xfId="0" applyNumberFormat="1" applyFont="1" applyAlignment="1">
      <alignment horizontal="center"/>
    </xf>
    <xf numFmtId="39" fontId="19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2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3" fillId="0" borderId="50" xfId="0" applyFont="1" applyBorder="1" applyAlignment="1">
      <alignment horizontal="center"/>
    </xf>
    <xf numFmtId="0" fontId="13" fillId="0" borderId="51" xfId="0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34" fillId="0" borderId="0" xfId="0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/>
    </xf>
    <xf numFmtId="0" fontId="29" fillId="0" borderId="4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9.jpeg"/><Relationship Id="rId1" Type="http://schemas.openxmlformats.org/officeDocument/2006/relationships/image" Target="../media/image18.jpeg"/><Relationship Id="rId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428625</xdr:colOff>
      <xdr:row>135</xdr:row>
      <xdr:rowOff>142875</xdr:rowOff>
    </xdr:from>
    <xdr:to>
      <xdr:col>2</xdr:col>
      <xdr:colOff>123825</xdr:colOff>
      <xdr:row>137</xdr:row>
      <xdr:rowOff>133350</xdr:rowOff>
    </xdr:to>
    <xdr:pic>
      <xdr:nvPicPr>
        <xdr:cNvPr id="2566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3524250" y="27298650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942975</xdr:colOff>
      <xdr:row>562</xdr:row>
      <xdr:rowOff>200025</xdr:rowOff>
    </xdr:from>
    <xdr:to>
      <xdr:col>0</xdr:col>
      <xdr:colOff>2114550</xdr:colOff>
      <xdr:row>564</xdr:row>
      <xdr:rowOff>171450</xdr:rowOff>
    </xdr:to>
    <xdr:pic>
      <xdr:nvPicPr>
        <xdr:cNvPr id="2567" name="Picture 6" descr="Pictur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28" t="73914" r="18272" b="19664"/>
        <a:stretch>
          <a:fillRect/>
        </a:stretch>
      </xdr:blipFill>
      <xdr:spPr bwMode="auto">
        <a:xfrm>
          <a:off x="942975" y="115023900"/>
          <a:ext cx="11715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1133475</xdr:colOff>
      <xdr:row>350</xdr:row>
      <xdr:rowOff>38100</xdr:rowOff>
    </xdr:from>
    <xdr:to>
      <xdr:col>0</xdr:col>
      <xdr:colOff>1847850</xdr:colOff>
      <xdr:row>351</xdr:row>
      <xdr:rowOff>133350</xdr:rowOff>
    </xdr:to>
    <xdr:pic>
      <xdr:nvPicPr>
        <xdr:cNvPr id="2568" name="Picture 5" descr="Picture 00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25" t="33824" r="77541" b="58824"/>
        <a:stretch>
          <a:fillRect/>
        </a:stretch>
      </xdr:blipFill>
      <xdr:spPr bwMode="auto">
        <a:xfrm>
          <a:off x="1133475" y="71275575"/>
          <a:ext cx="714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1181100</xdr:colOff>
      <xdr:row>207</xdr:row>
      <xdr:rowOff>152400</xdr:rowOff>
    </xdr:from>
    <xdr:to>
      <xdr:col>0</xdr:col>
      <xdr:colOff>1809750</xdr:colOff>
      <xdr:row>209</xdr:row>
      <xdr:rowOff>142875</xdr:rowOff>
    </xdr:to>
    <xdr:pic>
      <xdr:nvPicPr>
        <xdr:cNvPr id="2569" name="Picture 14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7" t="51341" r="78625" b="42828"/>
        <a:stretch>
          <a:fillRect/>
        </a:stretch>
      </xdr:blipFill>
      <xdr:spPr bwMode="auto">
        <a:xfrm>
          <a:off x="1181100" y="41995725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952500</xdr:colOff>
      <xdr:row>776</xdr:row>
      <xdr:rowOff>38100</xdr:rowOff>
    </xdr:from>
    <xdr:to>
      <xdr:col>0</xdr:col>
      <xdr:colOff>1838325</xdr:colOff>
      <xdr:row>777</xdr:row>
      <xdr:rowOff>190500</xdr:rowOff>
    </xdr:to>
    <xdr:pic>
      <xdr:nvPicPr>
        <xdr:cNvPr id="2570" name="Picture 18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0" t="65073" r="78625" b="26530"/>
        <a:stretch>
          <a:fillRect/>
        </a:stretch>
      </xdr:blipFill>
      <xdr:spPr bwMode="auto">
        <a:xfrm>
          <a:off x="952500" y="158686500"/>
          <a:ext cx="885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123825</xdr:colOff>
      <xdr:row>207</xdr:row>
      <xdr:rowOff>180975</xdr:rowOff>
    </xdr:from>
    <xdr:to>
      <xdr:col>2</xdr:col>
      <xdr:colOff>800100</xdr:colOff>
      <xdr:row>209</xdr:row>
      <xdr:rowOff>161925</xdr:rowOff>
    </xdr:to>
    <xdr:pic>
      <xdr:nvPicPr>
        <xdr:cNvPr id="2571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00525" y="42024300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350</xdr:row>
      <xdr:rowOff>9525</xdr:rowOff>
    </xdr:from>
    <xdr:to>
      <xdr:col>2</xdr:col>
      <xdr:colOff>838200</xdr:colOff>
      <xdr:row>352</xdr:row>
      <xdr:rowOff>0</xdr:rowOff>
    </xdr:to>
    <xdr:pic>
      <xdr:nvPicPr>
        <xdr:cNvPr id="2572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38625" y="71247000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492</xdr:row>
      <xdr:rowOff>19050</xdr:rowOff>
    </xdr:from>
    <xdr:to>
      <xdr:col>2</xdr:col>
      <xdr:colOff>942975</xdr:colOff>
      <xdr:row>494</xdr:row>
      <xdr:rowOff>0</xdr:rowOff>
    </xdr:to>
    <xdr:pic>
      <xdr:nvPicPr>
        <xdr:cNvPr id="2573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343400" y="10044112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562</xdr:row>
      <xdr:rowOff>200025</xdr:rowOff>
    </xdr:from>
    <xdr:to>
      <xdr:col>2</xdr:col>
      <xdr:colOff>809625</xdr:colOff>
      <xdr:row>564</xdr:row>
      <xdr:rowOff>171450</xdr:rowOff>
    </xdr:to>
    <xdr:pic>
      <xdr:nvPicPr>
        <xdr:cNvPr id="2574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10050" y="115023900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634</xdr:row>
      <xdr:rowOff>9525</xdr:rowOff>
    </xdr:from>
    <xdr:to>
      <xdr:col>2</xdr:col>
      <xdr:colOff>866775</xdr:colOff>
      <xdr:row>635</xdr:row>
      <xdr:rowOff>190500</xdr:rowOff>
    </xdr:to>
    <xdr:pic>
      <xdr:nvPicPr>
        <xdr:cNvPr id="2575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67200" y="12956857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1647825</xdr:colOff>
      <xdr:row>951</xdr:row>
      <xdr:rowOff>28575</xdr:rowOff>
    </xdr:from>
    <xdr:to>
      <xdr:col>0</xdr:col>
      <xdr:colOff>2324100</xdr:colOff>
      <xdr:row>953</xdr:row>
      <xdr:rowOff>19050</xdr:rowOff>
    </xdr:to>
    <xdr:pic>
      <xdr:nvPicPr>
        <xdr:cNvPr id="2576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1647825" y="19466242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266700</xdr:colOff>
      <xdr:row>920</xdr:row>
      <xdr:rowOff>38100</xdr:rowOff>
    </xdr:from>
    <xdr:to>
      <xdr:col>2</xdr:col>
      <xdr:colOff>942975</xdr:colOff>
      <xdr:row>922</xdr:row>
      <xdr:rowOff>28575</xdr:rowOff>
    </xdr:to>
    <xdr:pic>
      <xdr:nvPicPr>
        <xdr:cNvPr id="2577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343400" y="188214000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152400</xdr:colOff>
      <xdr:row>845</xdr:row>
      <xdr:rowOff>9525</xdr:rowOff>
    </xdr:from>
    <xdr:to>
      <xdr:col>2</xdr:col>
      <xdr:colOff>828675</xdr:colOff>
      <xdr:row>847</xdr:row>
      <xdr:rowOff>0</xdr:rowOff>
    </xdr:to>
    <xdr:pic>
      <xdr:nvPicPr>
        <xdr:cNvPr id="2578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29100" y="17288827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776</xdr:row>
      <xdr:rowOff>9525</xdr:rowOff>
    </xdr:from>
    <xdr:to>
      <xdr:col>2</xdr:col>
      <xdr:colOff>866775</xdr:colOff>
      <xdr:row>777</xdr:row>
      <xdr:rowOff>190500</xdr:rowOff>
    </xdr:to>
    <xdr:pic>
      <xdr:nvPicPr>
        <xdr:cNvPr id="2579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67200" y="15865792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1676400</xdr:colOff>
      <xdr:row>703</xdr:row>
      <xdr:rowOff>180975</xdr:rowOff>
    </xdr:from>
    <xdr:to>
      <xdr:col>0</xdr:col>
      <xdr:colOff>2352675</xdr:colOff>
      <xdr:row>705</xdr:row>
      <xdr:rowOff>171450</xdr:rowOff>
    </xdr:to>
    <xdr:pic>
      <xdr:nvPicPr>
        <xdr:cNvPr id="2580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1676400" y="14389417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142875</xdr:colOff>
      <xdr:row>421</xdr:row>
      <xdr:rowOff>38100</xdr:rowOff>
    </xdr:from>
    <xdr:to>
      <xdr:col>2</xdr:col>
      <xdr:colOff>819150</xdr:colOff>
      <xdr:row>423</xdr:row>
      <xdr:rowOff>19050</xdr:rowOff>
    </xdr:to>
    <xdr:pic>
      <xdr:nvPicPr>
        <xdr:cNvPr id="2581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19575" y="85839300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209550</xdr:colOff>
      <xdr:row>283</xdr:row>
      <xdr:rowOff>47625</xdr:rowOff>
    </xdr:from>
    <xdr:to>
      <xdr:col>2</xdr:col>
      <xdr:colOff>885825</xdr:colOff>
      <xdr:row>285</xdr:row>
      <xdr:rowOff>28575</xdr:rowOff>
    </xdr:to>
    <xdr:pic>
      <xdr:nvPicPr>
        <xdr:cNvPr id="2582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4286250" y="57531000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492</xdr:row>
      <xdr:rowOff>200025</xdr:rowOff>
    </xdr:from>
    <xdr:to>
      <xdr:col>0</xdr:col>
      <xdr:colOff>2752725</xdr:colOff>
      <xdr:row>495</xdr:row>
      <xdr:rowOff>76200</xdr:rowOff>
    </xdr:to>
    <xdr:pic>
      <xdr:nvPicPr>
        <xdr:cNvPr id="2583" name="Picture 33" descr="Picture 00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58" t="77940" r="8022" b="11765"/>
        <a:stretch>
          <a:fillRect/>
        </a:stretch>
      </xdr:blipFill>
      <xdr:spPr bwMode="auto">
        <a:xfrm>
          <a:off x="257175" y="100622100"/>
          <a:ext cx="2495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914400</xdr:colOff>
      <xdr:row>420</xdr:row>
      <xdr:rowOff>152400</xdr:rowOff>
    </xdr:from>
    <xdr:to>
      <xdr:col>0</xdr:col>
      <xdr:colOff>1971675</xdr:colOff>
      <xdr:row>422</xdr:row>
      <xdr:rowOff>171450</xdr:rowOff>
    </xdr:to>
    <xdr:pic>
      <xdr:nvPicPr>
        <xdr:cNvPr id="2584" name="Picture 16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34" t="52478" r="51144" b="30730"/>
        <a:stretch>
          <a:fillRect/>
        </a:stretch>
      </xdr:blipFill>
      <xdr:spPr bwMode="auto">
        <a:xfrm>
          <a:off x="914400" y="85744050"/>
          <a:ext cx="1057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1095375</xdr:colOff>
      <xdr:row>634</xdr:row>
      <xdr:rowOff>85725</xdr:rowOff>
    </xdr:from>
    <xdr:to>
      <xdr:col>0</xdr:col>
      <xdr:colOff>1990725</xdr:colOff>
      <xdr:row>635</xdr:row>
      <xdr:rowOff>190500</xdr:rowOff>
    </xdr:to>
    <xdr:pic>
      <xdr:nvPicPr>
        <xdr:cNvPr id="2585" name="Picture 17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328" t="16792" r="34351" b="60117"/>
        <a:stretch>
          <a:fillRect/>
        </a:stretch>
      </xdr:blipFill>
      <xdr:spPr bwMode="auto">
        <a:xfrm>
          <a:off x="1095375" y="129644775"/>
          <a:ext cx="895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952500</xdr:colOff>
      <xdr:row>844</xdr:row>
      <xdr:rowOff>152400</xdr:rowOff>
    </xdr:from>
    <xdr:to>
      <xdr:col>0</xdr:col>
      <xdr:colOff>2000250</xdr:colOff>
      <xdr:row>847</xdr:row>
      <xdr:rowOff>19050</xdr:rowOff>
    </xdr:to>
    <xdr:pic>
      <xdr:nvPicPr>
        <xdr:cNvPr id="2586" name="Picture 19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229" t="54578" r="19084" b="34927"/>
        <a:stretch>
          <a:fillRect/>
        </a:stretch>
      </xdr:blipFill>
      <xdr:spPr bwMode="auto">
        <a:xfrm>
          <a:off x="952500" y="172821600"/>
          <a:ext cx="1047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920</xdr:row>
      <xdr:rowOff>161925</xdr:rowOff>
    </xdr:from>
    <xdr:to>
      <xdr:col>0</xdr:col>
      <xdr:colOff>2867025</xdr:colOff>
      <xdr:row>924</xdr:row>
      <xdr:rowOff>66675</xdr:rowOff>
    </xdr:to>
    <xdr:pic>
      <xdr:nvPicPr>
        <xdr:cNvPr id="2587" name="Picture 35" descr="Picture 00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29" t="69118" r="51872" b="17647"/>
        <a:stretch>
          <a:fillRect/>
        </a:stretch>
      </xdr:blipFill>
      <xdr:spPr bwMode="auto">
        <a:xfrm>
          <a:off x="161925" y="188337825"/>
          <a:ext cx="2705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920</xdr:row>
      <xdr:rowOff>9525</xdr:rowOff>
    </xdr:from>
    <xdr:to>
      <xdr:col>6</xdr:col>
      <xdr:colOff>885825</xdr:colOff>
      <xdr:row>924</xdr:row>
      <xdr:rowOff>76200</xdr:rowOff>
    </xdr:to>
    <xdr:pic>
      <xdr:nvPicPr>
        <xdr:cNvPr id="2588" name="Picture 26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362700" y="188185425"/>
          <a:ext cx="2867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951</xdr:row>
      <xdr:rowOff>142875</xdr:rowOff>
    </xdr:from>
    <xdr:to>
      <xdr:col>5</xdr:col>
      <xdr:colOff>962025</xdr:colOff>
      <xdr:row>956</xdr:row>
      <xdr:rowOff>9525</xdr:rowOff>
    </xdr:to>
    <xdr:pic>
      <xdr:nvPicPr>
        <xdr:cNvPr id="2589" name="Picture 27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5381625" y="194776725"/>
          <a:ext cx="2867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136</xdr:row>
      <xdr:rowOff>161925</xdr:rowOff>
    </xdr:from>
    <xdr:to>
      <xdr:col>6</xdr:col>
      <xdr:colOff>876300</xdr:colOff>
      <xdr:row>141</xdr:row>
      <xdr:rowOff>28575</xdr:rowOff>
    </xdr:to>
    <xdr:pic>
      <xdr:nvPicPr>
        <xdr:cNvPr id="2590" name="Picture 28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353175" y="27517725"/>
          <a:ext cx="28670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208</xdr:row>
      <xdr:rowOff>95250</xdr:rowOff>
    </xdr:from>
    <xdr:to>
      <xdr:col>6</xdr:col>
      <xdr:colOff>971550</xdr:colOff>
      <xdr:row>212</xdr:row>
      <xdr:rowOff>19050</xdr:rowOff>
    </xdr:to>
    <xdr:pic>
      <xdr:nvPicPr>
        <xdr:cNvPr id="2591" name="Picture 29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648450" y="42148125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350</xdr:row>
      <xdr:rowOff>180975</xdr:rowOff>
    </xdr:from>
    <xdr:to>
      <xdr:col>6</xdr:col>
      <xdr:colOff>828675</xdr:colOff>
      <xdr:row>354</xdr:row>
      <xdr:rowOff>104775</xdr:rowOff>
    </xdr:to>
    <xdr:pic>
      <xdr:nvPicPr>
        <xdr:cNvPr id="2592" name="Picture 30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505575" y="71418450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422</xdr:row>
      <xdr:rowOff>76200</xdr:rowOff>
    </xdr:from>
    <xdr:to>
      <xdr:col>6</xdr:col>
      <xdr:colOff>790575</xdr:colOff>
      <xdr:row>426</xdr:row>
      <xdr:rowOff>0</xdr:rowOff>
    </xdr:to>
    <xdr:pic>
      <xdr:nvPicPr>
        <xdr:cNvPr id="2593" name="Picture 31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467475" y="86086950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492</xdr:row>
      <xdr:rowOff>152400</xdr:rowOff>
    </xdr:from>
    <xdr:to>
      <xdr:col>6</xdr:col>
      <xdr:colOff>762000</xdr:colOff>
      <xdr:row>496</xdr:row>
      <xdr:rowOff>66675</xdr:rowOff>
    </xdr:to>
    <xdr:pic>
      <xdr:nvPicPr>
        <xdr:cNvPr id="2594" name="Picture 32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438900" y="100574475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563</xdr:row>
      <xdr:rowOff>133350</xdr:rowOff>
    </xdr:from>
    <xdr:to>
      <xdr:col>6</xdr:col>
      <xdr:colOff>781050</xdr:colOff>
      <xdr:row>567</xdr:row>
      <xdr:rowOff>47625</xdr:rowOff>
    </xdr:to>
    <xdr:pic>
      <xdr:nvPicPr>
        <xdr:cNvPr id="2595" name="Picture 33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457950" y="115166775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634</xdr:row>
      <xdr:rowOff>76200</xdr:rowOff>
    </xdr:from>
    <xdr:to>
      <xdr:col>6</xdr:col>
      <xdr:colOff>828675</xdr:colOff>
      <xdr:row>637</xdr:row>
      <xdr:rowOff>190500</xdr:rowOff>
    </xdr:to>
    <xdr:pic>
      <xdr:nvPicPr>
        <xdr:cNvPr id="2596" name="Picture 34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505575" y="129635250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704</xdr:row>
      <xdr:rowOff>142875</xdr:rowOff>
    </xdr:from>
    <xdr:to>
      <xdr:col>5</xdr:col>
      <xdr:colOff>847725</xdr:colOff>
      <xdr:row>708</xdr:row>
      <xdr:rowOff>66675</xdr:rowOff>
    </xdr:to>
    <xdr:pic>
      <xdr:nvPicPr>
        <xdr:cNvPr id="2597" name="Picture 35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5467350" y="144056100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371475</xdr:colOff>
      <xdr:row>776</xdr:row>
      <xdr:rowOff>85725</xdr:rowOff>
    </xdr:from>
    <xdr:to>
      <xdr:col>6</xdr:col>
      <xdr:colOff>885825</xdr:colOff>
      <xdr:row>780</xdr:row>
      <xdr:rowOff>0</xdr:rowOff>
    </xdr:to>
    <xdr:pic>
      <xdr:nvPicPr>
        <xdr:cNvPr id="2598" name="Picture 36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562725" y="158734125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845</xdr:row>
      <xdr:rowOff>66675</xdr:rowOff>
    </xdr:from>
    <xdr:to>
      <xdr:col>6</xdr:col>
      <xdr:colOff>847725</xdr:colOff>
      <xdr:row>848</xdr:row>
      <xdr:rowOff>190500</xdr:rowOff>
    </xdr:to>
    <xdr:pic>
      <xdr:nvPicPr>
        <xdr:cNvPr id="2599" name="Picture 37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6524625" y="172945425"/>
          <a:ext cx="2667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133350</xdr:rowOff>
    </xdr:from>
    <xdr:to>
      <xdr:col>0</xdr:col>
      <xdr:colOff>2857500</xdr:colOff>
      <xdr:row>141</xdr:row>
      <xdr:rowOff>0</xdr:rowOff>
    </xdr:to>
    <xdr:pic>
      <xdr:nvPicPr>
        <xdr:cNvPr id="2600" name="Picture 28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0" y="27489150"/>
          <a:ext cx="28575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2895600</xdr:colOff>
      <xdr:row>197</xdr:row>
      <xdr:rowOff>47625</xdr:rowOff>
    </xdr:from>
    <xdr:to>
      <xdr:col>3</xdr:col>
      <xdr:colOff>266700</xdr:colOff>
      <xdr:row>200</xdr:row>
      <xdr:rowOff>95250</xdr:rowOff>
    </xdr:to>
    <xdr:pic>
      <xdr:nvPicPr>
        <xdr:cNvPr id="1103" name="Picture 3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61" t="3497" r="81679" b="83907"/>
        <a:stretch>
          <a:fillRect/>
        </a:stretch>
      </xdr:blipFill>
      <xdr:spPr bwMode="auto">
        <a:xfrm>
          <a:off x="3286125" y="29441775"/>
          <a:ext cx="676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752475</xdr:colOff>
      <xdr:row>197</xdr:row>
      <xdr:rowOff>85725</xdr:rowOff>
    </xdr:from>
    <xdr:to>
      <xdr:col>5</xdr:col>
      <xdr:colOff>314325</xdr:colOff>
      <xdr:row>201</xdr:row>
      <xdr:rowOff>28575</xdr:rowOff>
    </xdr:to>
    <xdr:pic>
      <xdr:nvPicPr>
        <xdr:cNvPr id="1104" name="Picture 14" descr="Picture 0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7" t="51341" r="78625" b="42828"/>
        <a:stretch>
          <a:fillRect/>
        </a:stretch>
      </xdr:blipFill>
      <xdr:spPr bwMode="auto">
        <a:xfrm>
          <a:off x="5248275" y="29479875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952500</xdr:colOff>
      <xdr:row>200</xdr:row>
      <xdr:rowOff>76200</xdr:rowOff>
    </xdr:from>
    <xdr:to>
      <xdr:col>17</xdr:col>
      <xdr:colOff>104775</xdr:colOff>
      <xdr:row>203</xdr:row>
      <xdr:rowOff>38100</xdr:rowOff>
    </xdr:to>
    <xdr:pic>
      <xdr:nvPicPr>
        <xdr:cNvPr id="1105" name="Picture 33" descr="Picture 0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58" t="77940" r="8022" b="11765"/>
        <a:stretch>
          <a:fillRect/>
        </a:stretch>
      </xdr:blipFill>
      <xdr:spPr bwMode="auto">
        <a:xfrm>
          <a:off x="7591425" y="29813250"/>
          <a:ext cx="24860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942975</xdr:colOff>
      <xdr:row>198</xdr:row>
      <xdr:rowOff>28575</xdr:rowOff>
    </xdr:from>
    <xdr:to>
      <xdr:col>2</xdr:col>
      <xdr:colOff>1657350</xdr:colOff>
      <xdr:row>200</xdr:row>
      <xdr:rowOff>95250</xdr:rowOff>
    </xdr:to>
    <xdr:pic>
      <xdr:nvPicPr>
        <xdr:cNvPr id="1106" name="Picture 5" descr="Picture 0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25" t="33824" r="77541" b="58824"/>
        <a:stretch>
          <a:fillRect/>
        </a:stretch>
      </xdr:blipFill>
      <xdr:spPr bwMode="auto">
        <a:xfrm>
          <a:off x="1333500" y="29537025"/>
          <a:ext cx="714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204</xdr:row>
      <xdr:rowOff>76200</xdr:rowOff>
    </xdr:from>
    <xdr:to>
      <xdr:col>3</xdr:col>
      <xdr:colOff>85725</xdr:colOff>
      <xdr:row>208</xdr:row>
      <xdr:rowOff>104775</xdr:rowOff>
    </xdr:to>
    <xdr:pic>
      <xdr:nvPicPr>
        <xdr:cNvPr id="1107" name="Picture 8" descr="C:\Users\BUDGET OFFICE\Pictures\Scans\Scan_20170106 (4)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35" t="73276" r="8754" b="13190"/>
        <a:stretch>
          <a:fillRect/>
        </a:stretch>
      </xdr:blipFill>
      <xdr:spPr bwMode="auto">
        <a:xfrm>
          <a:off x="914400" y="30527625"/>
          <a:ext cx="2867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8"/>
  <sheetViews>
    <sheetView topLeftCell="A115" workbookViewId="0">
      <selection activeCell="J11" sqref="J11"/>
    </sheetView>
  </sheetViews>
  <sheetFormatPr defaultRowHeight="15" x14ac:dyDescent="0.25"/>
  <cols>
    <col min="1" max="1" width="38.7109375" customWidth="1"/>
    <col min="2" max="2" width="15.85546875" customWidth="1"/>
    <col min="3" max="3" width="13.5703125" customWidth="1"/>
    <col min="4" max="4" width="13.7109375" customWidth="1"/>
    <col min="5" max="5" width="10.7109375" customWidth="1"/>
    <col min="6" max="6" width="14.85546875" bestFit="1" customWidth="1"/>
    <col min="7" max="8" width="13.28515625" customWidth="1"/>
    <col min="9" max="9" width="14.85546875" customWidth="1"/>
    <col min="10" max="10" width="15.28515625" customWidth="1"/>
    <col min="11" max="11" width="14.42578125" customWidth="1"/>
    <col min="12" max="13" width="13.28515625" bestFit="1" customWidth="1"/>
    <col min="14" max="14" width="13.85546875" customWidth="1"/>
    <col min="15" max="15" width="17.140625" customWidth="1"/>
    <col min="18" max="18" width="11.7109375" customWidth="1"/>
    <col min="19" max="19" width="14.28515625" bestFit="1" customWidth="1"/>
    <col min="20" max="20" width="14" customWidth="1"/>
    <col min="21" max="21" width="13.85546875" customWidth="1"/>
    <col min="22" max="22" width="14.7109375" customWidth="1"/>
    <col min="23" max="23" width="9.85546875" customWidth="1"/>
    <col min="24" max="24" width="17.140625" customWidth="1"/>
    <col min="25" max="25" width="14.85546875" customWidth="1"/>
    <col min="26" max="26" width="14.7109375" customWidth="1"/>
    <col min="27" max="27" width="13.85546875" customWidth="1"/>
    <col min="28" max="28" width="10.5703125" customWidth="1"/>
    <col min="29" max="29" width="13.140625" customWidth="1"/>
    <col min="30" max="30" width="11.85546875" customWidth="1"/>
    <col min="31" max="31" width="16.42578125" customWidth="1"/>
    <col min="32" max="35" width="17.85546875" customWidth="1"/>
    <col min="36" max="36" width="19.85546875" customWidth="1"/>
    <col min="37" max="37" width="15.85546875" customWidth="1"/>
    <col min="38" max="38" width="24.85546875" customWidth="1"/>
  </cols>
  <sheetData>
    <row r="1" spans="1:38" ht="15.75" thickBot="1" x14ac:dyDescent="0.3">
      <c r="A1" s="1"/>
      <c r="B1" s="1"/>
      <c r="C1" s="342" t="s">
        <v>0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3"/>
      <c r="AF1" s="342" t="s">
        <v>6</v>
      </c>
      <c r="AG1" s="344"/>
      <c r="AH1" s="344"/>
      <c r="AI1" s="344"/>
      <c r="AJ1" s="344"/>
      <c r="AK1" s="1"/>
    </row>
    <row r="2" spans="1:38" ht="15.75" thickBot="1" x14ac:dyDescent="0.3">
      <c r="A2" s="2"/>
      <c r="B2" s="8" t="s">
        <v>78</v>
      </c>
      <c r="C2" s="342" t="s">
        <v>1</v>
      </c>
      <c r="D2" s="344"/>
      <c r="E2" s="344"/>
      <c r="F2" s="344"/>
      <c r="G2" s="344"/>
      <c r="H2" s="344"/>
      <c r="I2" s="344"/>
      <c r="J2" s="344"/>
      <c r="K2" s="344"/>
      <c r="L2" s="344"/>
      <c r="M2" s="343"/>
      <c r="N2" s="342" t="s">
        <v>2</v>
      </c>
      <c r="O2" s="344"/>
      <c r="P2" s="345"/>
      <c r="Q2" s="345"/>
      <c r="R2" s="345"/>
      <c r="S2" s="345"/>
      <c r="T2" s="345"/>
      <c r="U2" s="345"/>
      <c r="V2" s="346"/>
      <c r="W2" s="342" t="s">
        <v>3</v>
      </c>
      <c r="X2" s="344"/>
      <c r="Y2" s="344"/>
      <c r="Z2" s="344"/>
      <c r="AA2" s="344"/>
      <c r="AB2" s="344"/>
      <c r="AC2" s="344"/>
      <c r="AD2" s="343"/>
      <c r="AE2" s="9"/>
      <c r="AF2" s="9"/>
      <c r="AG2" s="9"/>
      <c r="AH2" s="9"/>
      <c r="AI2" s="9"/>
      <c r="AJ2" s="9"/>
      <c r="AK2" s="2"/>
    </row>
    <row r="3" spans="1:38" ht="15.75" thickBot="1" x14ac:dyDescent="0.3">
      <c r="A3" s="2"/>
      <c r="B3" s="8" t="s">
        <v>79</v>
      </c>
      <c r="C3" s="342" t="s">
        <v>60</v>
      </c>
      <c r="D3" s="344"/>
      <c r="E3" s="344"/>
      <c r="F3" s="344"/>
      <c r="G3" s="343"/>
      <c r="H3" s="342" t="s">
        <v>59</v>
      </c>
      <c r="I3" s="344"/>
      <c r="J3" s="344"/>
      <c r="K3" s="344"/>
      <c r="L3" s="344"/>
      <c r="M3" s="9"/>
      <c r="N3" s="9"/>
      <c r="O3" s="9" t="s">
        <v>41</v>
      </c>
      <c r="P3" s="342" t="s">
        <v>33</v>
      </c>
      <c r="Q3" s="344"/>
      <c r="R3" s="344"/>
      <c r="S3" s="343"/>
      <c r="T3" s="19"/>
      <c r="U3" s="19" t="s">
        <v>52</v>
      </c>
      <c r="V3" s="19"/>
      <c r="W3" s="344" t="s">
        <v>4</v>
      </c>
      <c r="X3" s="344"/>
      <c r="Y3" s="344"/>
      <c r="Z3" s="343"/>
      <c r="AA3" s="342" t="s">
        <v>5</v>
      </c>
      <c r="AB3" s="344"/>
      <c r="AC3" s="344"/>
      <c r="AD3" s="9"/>
      <c r="AE3" s="8"/>
      <c r="AF3" s="8"/>
      <c r="AG3" s="8"/>
      <c r="AH3" s="8"/>
      <c r="AI3" s="8"/>
      <c r="AJ3" s="8"/>
      <c r="AK3" s="8" t="s">
        <v>88</v>
      </c>
    </row>
    <row r="4" spans="1:38" ht="15.75" thickBot="1" x14ac:dyDescent="0.3">
      <c r="A4" s="8" t="s">
        <v>81</v>
      </c>
      <c r="B4" s="8" t="s">
        <v>80</v>
      </c>
      <c r="C4" s="342" t="s">
        <v>61</v>
      </c>
      <c r="D4" s="343"/>
      <c r="E4" s="9"/>
      <c r="F4" s="9"/>
      <c r="G4" s="9"/>
      <c r="H4" s="9"/>
      <c r="I4" s="9"/>
      <c r="J4" s="9" t="s">
        <v>20</v>
      </c>
      <c r="K4" s="9"/>
      <c r="L4" s="9"/>
      <c r="M4" s="8" t="s">
        <v>56</v>
      </c>
      <c r="N4" s="8" t="s">
        <v>46</v>
      </c>
      <c r="O4" s="8" t="s">
        <v>37</v>
      </c>
      <c r="P4" s="9"/>
      <c r="Q4" s="9"/>
      <c r="R4" s="9" t="s">
        <v>36</v>
      </c>
      <c r="S4" s="9" t="s">
        <v>36</v>
      </c>
      <c r="T4" s="8" t="s">
        <v>50</v>
      </c>
      <c r="U4" s="8" t="s">
        <v>53</v>
      </c>
      <c r="V4" s="8" t="s">
        <v>56</v>
      </c>
      <c r="W4" s="12" t="s">
        <v>7</v>
      </c>
      <c r="X4" s="9" t="s">
        <v>14</v>
      </c>
      <c r="Y4" s="9" t="s">
        <v>15</v>
      </c>
      <c r="Z4" s="9" t="s">
        <v>18</v>
      </c>
      <c r="AA4" s="9"/>
      <c r="AB4" s="9"/>
      <c r="AC4" s="9" t="s">
        <v>27</v>
      </c>
      <c r="AD4" s="8" t="s">
        <v>30</v>
      </c>
      <c r="AE4" s="10" t="s">
        <v>56</v>
      </c>
      <c r="AF4" s="10" t="s">
        <v>82</v>
      </c>
      <c r="AG4" s="10" t="s">
        <v>84</v>
      </c>
      <c r="AH4" s="10" t="s">
        <v>85</v>
      </c>
      <c r="AI4" s="10" t="s">
        <v>86</v>
      </c>
      <c r="AJ4" s="10" t="s">
        <v>56</v>
      </c>
      <c r="AK4" s="8" t="s">
        <v>80</v>
      </c>
    </row>
    <row r="5" spans="1:38" x14ac:dyDescent="0.25">
      <c r="A5" s="2"/>
      <c r="B5" s="2"/>
      <c r="C5" s="9"/>
      <c r="D5" s="9" t="s">
        <v>76</v>
      </c>
      <c r="E5" s="8" t="s">
        <v>62</v>
      </c>
      <c r="F5" s="8" t="s">
        <v>63</v>
      </c>
      <c r="G5" s="8" t="s">
        <v>25</v>
      </c>
      <c r="H5" s="8" t="s">
        <v>65</v>
      </c>
      <c r="I5" s="8" t="s">
        <v>67</v>
      </c>
      <c r="J5" s="8" t="s">
        <v>8</v>
      </c>
      <c r="K5" s="8" t="s">
        <v>63</v>
      </c>
      <c r="L5" s="8" t="s">
        <v>25</v>
      </c>
      <c r="M5" s="8" t="s">
        <v>73</v>
      </c>
      <c r="N5" s="8" t="s">
        <v>47</v>
      </c>
      <c r="O5" s="8" t="s">
        <v>43</v>
      </c>
      <c r="P5" s="8" t="s">
        <v>36</v>
      </c>
      <c r="Q5" s="8" t="s">
        <v>41</v>
      </c>
      <c r="R5" s="8" t="s">
        <v>37</v>
      </c>
      <c r="S5" s="8" t="s">
        <v>8</v>
      </c>
      <c r="T5" s="8" t="s">
        <v>51</v>
      </c>
      <c r="U5" s="8" t="s">
        <v>54</v>
      </c>
      <c r="V5" s="8" t="s">
        <v>57</v>
      </c>
      <c r="W5" s="20" t="s">
        <v>8</v>
      </c>
      <c r="X5" s="8" t="s">
        <v>11</v>
      </c>
      <c r="Y5" s="8" t="s">
        <v>16</v>
      </c>
      <c r="Z5" s="8" t="s">
        <v>19</v>
      </c>
      <c r="AA5" s="8" t="s">
        <v>21</v>
      </c>
      <c r="AB5" s="8" t="s">
        <v>23</v>
      </c>
      <c r="AC5" s="8" t="s">
        <v>26</v>
      </c>
      <c r="AD5" s="8" t="s">
        <v>31</v>
      </c>
      <c r="AE5" s="10" t="s">
        <v>32</v>
      </c>
      <c r="AF5" s="10" t="s">
        <v>83</v>
      </c>
      <c r="AG5" s="10" t="s">
        <v>83</v>
      </c>
      <c r="AH5" s="10" t="s">
        <v>83</v>
      </c>
      <c r="AI5" s="10" t="s">
        <v>83</v>
      </c>
      <c r="AJ5" s="10" t="s">
        <v>87</v>
      </c>
      <c r="AK5" s="2"/>
    </row>
    <row r="6" spans="1:38" x14ac:dyDescent="0.25">
      <c r="A6" s="2"/>
      <c r="B6" s="2"/>
      <c r="C6" s="8" t="s">
        <v>74</v>
      </c>
      <c r="D6" s="8" t="s">
        <v>77</v>
      </c>
      <c r="E6" s="8" t="s">
        <v>35</v>
      </c>
      <c r="F6" s="8" t="s">
        <v>64</v>
      </c>
      <c r="G6" s="8" t="s">
        <v>35</v>
      </c>
      <c r="H6" s="8" t="s">
        <v>66</v>
      </c>
      <c r="I6" s="8" t="s">
        <v>68</v>
      </c>
      <c r="J6" s="8" t="s">
        <v>70</v>
      </c>
      <c r="K6" s="8" t="s">
        <v>20</v>
      </c>
      <c r="L6" s="8" t="s">
        <v>72</v>
      </c>
      <c r="M6" s="8" t="s">
        <v>58</v>
      </c>
      <c r="N6" s="8" t="s">
        <v>48</v>
      </c>
      <c r="O6" s="8" t="s">
        <v>44</v>
      </c>
      <c r="P6" s="8" t="s">
        <v>37</v>
      </c>
      <c r="Q6" s="8" t="s">
        <v>37</v>
      </c>
      <c r="R6" s="8" t="s">
        <v>38</v>
      </c>
      <c r="S6" s="8" t="s">
        <v>34</v>
      </c>
      <c r="T6" s="8"/>
      <c r="U6" s="8" t="s">
        <v>55</v>
      </c>
      <c r="V6" s="8" t="s">
        <v>58</v>
      </c>
      <c r="W6" s="20" t="s">
        <v>9</v>
      </c>
      <c r="X6" s="8" t="s">
        <v>12</v>
      </c>
      <c r="Y6" s="8" t="s">
        <v>17</v>
      </c>
      <c r="Z6" s="8" t="s">
        <v>20</v>
      </c>
      <c r="AA6" s="8" t="s">
        <v>22</v>
      </c>
      <c r="AB6" s="8" t="s">
        <v>24</v>
      </c>
      <c r="AC6" s="8" t="s">
        <v>28</v>
      </c>
      <c r="AD6" s="8" t="s">
        <v>32</v>
      </c>
      <c r="AE6" s="5"/>
      <c r="AF6" s="8"/>
      <c r="AG6" s="8"/>
      <c r="AH6" s="8"/>
      <c r="AI6" s="8"/>
      <c r="AJ6" s="8"/>
      <c r="AK6" s="2"/>
    </row>
    <row r="7" spans="1:38" x14ac:dyDescent="0.25">
      <c r="A7" s="2"/>
      <c r="B7" s="2"/>
      <c r="C7" s="8" t="s">
        <v>75</v>
      </c>
      <c r="D7" s="8" t="s">
        <v>35</v>
      </c>
      <c r="E7" s="8"/>
      <c r="F7" s="8" t="s">
        <v>226</v>
      </c>
      <c r="G7" s="8" t="s">
        <v>47</v>
      </c>
      <c r="H7" s="8"/>
      <c r="I7" s="8" t="s">
        <v>69</v>
      </c>
      <c r="J7" s="8" t="s">
        <v>71</v>
      </c>
      <c r="K7" s="8"/>
      <c r="L7" s="8" t="s">
        <v>47</v>
      </c>
      <c r="M7" s="8"/>
      <c r="N7" s="8"/>
      <c r="O7" s="8" t="s">
        <v>45</v>
      </c>
      <c r="P7" s="8" t="s">
        <v>42</v>
      </c>
      <c r="Q7" s="8" t="s">
        <v>40</v>
      </c>
      <c r="R7" s="8" t="s">
        <v>39</v>
      </c>
      <c r="S7" s="8" t="s">
        <v>49</v>
      </c>
      <c r="T7" s="8"/>
      <c r="U7" s="8"/>
      <c r="V7" s="8"/>
      <c r="W7" s="20" t="s">
        <v>10</v>
      </c>
      <c r="X7" s="8" t="s">
        <v>13</v>
      </c>
      <c r="Y7" s="8"/>
      <c r="Z7" s="8"/>
      <c r="AA7" s="8"/>
      <c r="AB7" s="8"/>
      <c r="AC7" s="8" t="s">
        <v>29</v>
      </c>
      <c r="AD7" s="8"/>
      <c r="AE7" s="5"/>
      <c r="AF7" s="8"/>
      <c r="AG7" s="8"/>
      <c r="AH7" s="8"/>
      <c r="AI7" s="8"/>
      <c r="AJ7" s="8"/>
      <c r="AK7" s="2"/>
    </row>
    <row r="8" spans="1:38" x14ac:dyDescent="0.25">
      <c r="A8" s="13"/>
      <c r="B8" s="13"/>
      <c r="C8" s="15" t="s">
        <v>228</v>
      </c>
      <c r="D8" s="13"/>
      <c r="E8" s="13"/>
      <c r="F8" s="16" t="s">
        <v>227</v>
      </c>
      <c r="G8" s="66"/>
      <c r="H8" s="13" t="s">
        <v>232</v>
      </c>
      <c r="I8" s="13" t="s">
        <v>231</v>
      </c>
      <c r="J8" s="17" t="s">
        <v>230</v>
      </c>
      <c r="K8" s="13" t="s">
        <v>229</v>
      </c>
      <c r="L8" s="66"/>
      <c r="M8" s="13"/>
      <c r="N8" s="13"/>
      <c r="O8" s="13"/>
      <c r="P8" s="13"/>
      <c r="Q8" s="13"/>
      <c r="R8" s="17"/>
      <c r="S8" s="17"/>
      <c r="T8" s="17"/>
      <c r="U8" s="17"/>
      <c r="V8" s="18"/>
      <c r="W8" s="13"/>
      <c r="X8" s="13"/>
      <c r="Y8" s="13"/>
      <c r="Z8" s="13"/>
      <c r="AA8" s="13"/>
      <c r="AB8" s="13"/>
      <c r="AC8" s="13"/>
      <c r="AD8" s="13"/>
      <c r="AE8" s="18"/>
      <c r="AF8" s="18"/>
      <c r="AG8" s="18"/>
      <c r="AH8" s="18"/>
      <c r="AI8" s="18"/>
      <c r="AJ8" s="18"/>
      <c r="AK8" s="13"/>
    </row>
    <row r="9" spans="1:38" x14ac:dyDescent="0.25">
      <c r="A9" s="13" t="s">
        <v>225</v>
      </c>
      <c r="B9" s="14">
        <f>36676.13+31000+3035380.8+4465518.68+820000+112528.51</f>
        <v>8501104.1199999992</v>
      </c>
      <c r="C9" s="14">
        <v>350000</v>
      </c>
      <c r="D9" s="14">
        <v>350000</v>
      </c>
      <c r="E9" s="14"/>
      <c r="F9" s="14">
        <f>90000+6000+50000+35000</f>
        <v>181000</v>
      </c>
      <c r="G9" s="67">
        <f>SUM(C9:F9)</f>
        <v>881000</v>
      </c>
      <c r="H9" s="14">
        <v>758200</v>
      </c>
      <c r="I9" s="14">
        <v>303500</v>
      </c>
      <c r="J9" s="14">
        <v>1974000</v>
      </c>
      <c r="K9" s="14">
        <f>25000+10000+4000</f>
        <v>39000</v>
      </c>
      <c r="L9" s="67">
        <f>SUM(H9:K9)</f>
        <v>3074700</v>
      </c>
      <c r="M9" s="14">
        <f>L9+G9</f>
        <v>3955700</v>
      </c>
      <c r="N9" s="14">
        <v>52873876</v>
      </c>
      <c r="O9" s="14"/>
      <c r="P9" s="14"/>
      <c r="Q9" s="14"/>
      <c r="R9" s="14"/>
      <c r="S9" s="14"/>
      <c r="T9" s="14"/>
      <c r="U9" s="14"/>
      <c r="V9" s="67">
        <f>SUM(N9:U9)</f>
        <v>52873876</v>
      </c>
      <c r="W9" s="14"/>
      <c r="X9" s="14"/>
      <c r="Y9" s="14"/>
      <c r="Z9" s="14">
        <f>SUM(W9:Y9)</f>
        <v>0</v>
      </c>
      <c r="AA9" s="14"/>
      <c r="AB9" s="14"/>
      <c r="AC9" s="14">
        <f>SUM(AA9:AB9)</f>
        <v>0</v>
      </c>
      <c r="AD9" s="14">
        <f>AC9+Z9</f>
        <v>0</v>
      </c>
      <c r="AE9" s="67">
        <f>AD9+V9+M9</f>
        <v>56829576</v>
      </c>
      <c r="AF9" s="14">
        <v>29122012.27</v>
      </c>
      <c r="AG9" s="14">
        <f>4823063.45+400000+79082+150000+500000</f>
        <v>5952145.4500000002</v>
      </c>
      <c r="AH9" s="14">
        <f>8484507.52+567630.05+500000+1000000+1500000+500000+700000+2818478.8+528738.76+5000+13000+462528.51</f>
        <v>17079883.640000001</v>
      </c>
      <c r="AI9" s="14">
        <v>4678063.1500000004</v>
      </c>
      <c r="AJ9" s="14">
        <f>SUM(AF9:AI9)</f>
        <v>56832104.509999998</v>
      </c>
      <c r="AK9" s="14">
        <f>B9+AE9-AJ9</f>
        <v>8498575.6099999994</v>
      </c>
      <c r="AL9" s="65"/>
    </row>
    <row r="10" spans="1:38" x14ac:dyDescent="0.25">
      <c r="A10" s="13"/>
      <c r="B10" s="13"/>
      <c r="C10" s="14"/>
      <c r="D10" s="14"/>
      <c r="E10" s="14"/>
      <c r="F10" s="14"/>
      <c r="G10" s="67"/>
      <c r="H10" s="14"/>
      <c r="I10" s="14"/>
      <c r="J10" s="14"/>
      <c r="K10" s="14"/>
      <c r="L10" s="67"/>
      <c r="M10" s="14"/>
      <c r="N10" s="14"/>
      <c r="O10" s="14"/>
      <c r="P10" s="14"/>
      <c r="Q10" s="14"/>
      <c r="R10" s="14"/>
      <c r="S10" s="14"/>
      <c r="T10" s="14"/>
      <c r="U10" s="14"/>
      <c r="V10" s="67"/>
      <c r="W10" s="14"/>
      <c r="X10" s="14"/>
      <c r="Y10" s="14"/>
      <c r="Z10" s="14"/>
      <c r="AA10" s="14"/>
      <c r="AB10" s="14"/>
      <c r="AC10" s="14"/>
      <c r="AD10" s="14"/>
      <c r="AE10" s="67"/>
      <c r="AF10" s="14"/>
      <c r="AG10" s="14"/>
      <c r="AH10" s="14"/>
      <c r="AI10" s="14"/>
      <c r="AJ10" s="14"/>
      <c r="AK10" s="14"/>
    </row>
    <row r="11" spans="1:38" x14ac:dyDescent="0.25">
      <c r="A11" s="13" t="s">
        <v>259</v>
      </c>
      <c r="B11" s="14">
        <v>8501104.1199999992</v>
      </c>
      <c r="C11" s="14">
        <v>242941.08</v>
      </c>
      <c r="D11" s="14">
        <v>303676.27</v>
      </c>
      <c r="E11" s="14"/>
      <c r="F11" s="14">
        <f>115815.68+6800+413485.69+24200.86+30250.98</f>
        <v>590553.21</v>
      </c>
      <c r="G11" s="67">
        <f>SUM(C11:F11)</f>
        <v>1137170.56</v>
      </c>
      <c r="H11" s="14">
        <f>13100+614145.52+380675+186951+56591.52</f>
        <v>1251463.04</v>
      </c>
      <c r="I11" s="14">
        <f>293265+68140+7425+44900+7895+102300+4590+2400</f>
        <v>530915</v>
      </c>
      <c r="J11" s="14">
        <f>723400+219200+172345+462450+103260+367825+1775</f>
        <v>2050255</v>
      </c>
      <c r="K11" s="14">
        <f>49720.1+242630.06+32925+9723.63</f>
        <v>334998.78999999998</v>
      </c>
      <c r="L11" s="67">
        <f>SUM(H11:K11)</f>
        <v>4167631.83</v>
      </c>
      <c r="M11" s="14">
        <f>L11+G11</f>
        <v>5304802.3900000006</v>
      </c>
      <c r="N11" s="14">
        <v>53153678</v>
      </c>
      <c r="O11" s="14"/>
      <c r="P11" s="14"/>
      <c r="Q11" s="14"/>
      <c r="R11" s="14"/>
      <c r="S11" s="14">
        <v>14189870</v>
      </c>
      <c r="T11" s="14">
        <v>164018.01999999999</v>
      </c>
      <c r="U11" s="14"/>
      <c r="V11" s="67">
        <f>SUM(N11:U11)</f>
        <v>67507566.019999996</v>
      </c>
      <c r="W11" s="14"/>
      <c r="X11" s="14"/>
      <c r="Y11" s="14"/>
      <c r="Z11" s="14">
        <f>SUM(W11:Y11)</f>
        <v>0</v>
      </c>
      <c r="AA11" s="14"/>
      <c r="AB11" s="14"/>
      <c r="AC11" s="14">
        <f>SUM(AA11:AB11)</f>
        <v>0</v>
      </c>
      <c r="AD11" s="14">
        <f>AC11+Z11</f>
        <v>0</v>
      </c>
      <c r="AE11" s="67">
        <f>AD11+V11+M11</f>
        <v>72812368.409999996</v>
      </c>
      <c r="AF11" s="14">
        <f>AK74</f>
        <v>33193074.350000001</v>
      </c>
      <c r="AG11" s="14">
        <f>AK92</f>
        <v>17964859.199999999</v>
      </c>
      <c r="AH11" s="14">
        <f>AK75</f>
        <v>17135685.93</v>
      </c>
      <c r="AI11" s="14">
        <v>4227978.53</v>
      </c>
      <c r="AJ11" s="14">
        <f>SUM(AF11:AI11)</f>
        <v>72521598.00999999</v>
      </c>
      <c r="AK11" s="14">
        <f>B11+AE11-AJ11</f>
        <v>8791874.5200000107</v>
      </c>
      <c r="AL11" s="21"/>
    </row>
    <row r="12" spans="1:38" x14ac:dyDescent="0.25">
      <c r="A12" s="13"/>
      <c r="B12" s="13"/>
      <c r="C12" s="14"/>
      <c r="D12" s="14"/>
      <c r="E12" s="14"/>
      <c r="F12" s="14"/>
      <c r="G12" s="67"/>
      <c r="H12" s="14"/>
      <c r="I12" s="14"/>
      <c r="J12" s="14"/>
      <c r="K12" s="14"/>
      <c r="L12" s="67"/>
      <c r="M12" s="14"/>
      <c r="N12" s="14"/>
      <c r="O12" s="14"/>
      <c r="P12" s="14"/>
      <c r="Q12" s="14"/>
      <c r="R12" s="14"/>
      <c r="S12" s="14"/>
      <c r="T12" s="14"/>
      <c r="U12" s="14"/>
      <c r="V12" s="67"/>
      <c r="W12" s="14"/>
      <c r="X12" s="14"/>
      <c r="Y12" s="14"/>
      <c r="Z12" s="14"/>
      <c r="AA12" s="14"/>
      <c r="AB12" s="14"/>
      <c r="AC12" s="14"/>
      <c r="AD12" s="14"/>
      <c r="AE12" s="67"/>
      <c r="AF12" s="14"/>
      <c r="AG12" s="14"/>
      <c r="AH12" s="14"/>
      <c r="AI12" s="14"/>
      <c r="AJ12" s="14"/>
      <c r="AK12" s="14"/>
    </row>
    <row r="13" spans="1:38" x14ac:dyDescent="0.25">
      <c r="A13" s="13" t="s">
        <v>258</v>
      </c>
      <c r="B13" s="13">
        <v>8.5</v>
      </c>
      <c r="C13" s="14">
        <v>0.24</v>
      </c>
      <c r="D13" s="14">
        <v>0.3</v>
      </c>
      <c r="E13" s="14"/>
      <c r="F13" s="14">
        <v>0.6</v>
      </c>
      <c r="G13" s="67">
        <f>SUM(C13:F13)</f>
        <v>1.1400000000000001</v>
      </c>
      <c r="H13" s="14">
        <v>1.25</v>
      </c>
      <c r="I13" s="14">
        <v>0.53</v>
      </c>
      <c r="J13" s="14">
        <v>2.0499999999999998</v>
      </c>
      <c r="K13" s="14">
        <v>0.33</v>
      </c>
      <c r="L13" s="67">
        <f>SUM(H13:K13)</f>
        <v>4.16</v>
      </c>
      <c r="M13" s="14">
        <v>5.3</v>
      </c>
      <c r="N13" s="14">
        <v>53.15</v>
      </c>
      <c r="O13" s="14"/>
      <c r="P13" s="14"/>
      <c r="Q13" s="14"/>
      <c r="R13" s="14"/>
      <c r="S13" s="14">
        <v>14.2</v>
      </c>
      <c r="T13" s="14">
        <v>0.16</v>
      </c>
      <c r="U13" s="14"/>
      <c r="V13" s="67">
        <f>SUM(N13:U13)</f>
        <v>67.509999999999991</v>
      </c>
      <c r="W13" s="14"/>
      <c r="X13" s="14"/>
      <c r="Y13" s="14"/>
      <c r="Z13" s="14"/>
      <c r="AA13" s="14"/>
      <c r="AB13" s="14"/>
      <c r="AC13" s="14"/>
      <c r="AD13" s="14"/>
      <c r="AE13" s="67">
        <f>AD13+V13+M13</f>
        <v>72.809999999999988</v>
      </c>
      <c r="AF13" s="14">
        <v>33.19</v>
      </c>
      <c r="AG13" s="14">
        <v>17.96</v>
      </c>
      <c r="AH13" s="14">
        <v>17.14</v>
      </c>
      <c r="AI13" s="14">
        <v>4.2300000000000004</v>
      </c>
      <c r="AJ13" s="14">
        <f>SUM(AF13:AI13)</f>
        <v>72.52</v>
      </c>
      <c r="AK13" s="14">
        <f>B13+AE13-AJ13</f>
        <v>8.789999999999992</v>
      </c>
    </row>
    <row r="14" spans="1:38" x14ac:dyDescent="0.25">
      <c r="A14" s="13"/>
      <c r="B14" s="13"/>
      <c r="C14" s="14"/>
      <c r="D14" s="14"/>
      <c r="E14" s="14"/>
      <c r="F14" s="14"/>
      <c r="G14" s="67"/>
      <c r="H14" s="14"/>
      <c r="I14" s="14"/>
      <c r="J14" s="14"/>
      <c r="K14" s="14"/>
      <c r="L14" s="67"/>
      <c r="M14" s="14"/>
      <c r="N14" s="14"/>
      <c r="O14" s="14"/>
      <c r="P14" s="14"/>
      <c r="Q14" s="14"/>
      <c r="R14" s="14"/>
      <c r="S14" s="14"/>
      <c r="T14" s="14"/>
      <c r="U14" s="14"/>
      <c r="V14" s="67"/>
      <c r="W14" s="14"/>
      <c r="X14" s="14"/>
      <c r="Y14" s="14"/>
      <c r="Z14" s="14"/>
      <c r="AA14" s="14"/>
      <c r="AB14" s="14"/>
      <c r="AC14" s="14"/>
      <c r="AD14" s="14"/>
      <c r="AE14" s="67"/>
      <c r="AF14" s="14"/>
      <c r="AG14" s="14"/>
      <c r="AH14" s="14"/>
      <c r="AI14" s="14"/>
      <c r="AJ14" s="14"/>
      <c r="AK14" s="14"/>
    </row>
    <row r="15" spans="1:38" x14ac:dyDescent="0.25">
      <c r="A15" s="13"/>
      <c r="B15" s="13"/>
      <c r="C15" s="14"/>
      <c r="D15" s="14"/>
      <c r="E15" s="14"/>
      <c r="F15" s="14"/>
      <c r="G15" s="67"/>
      <c r="H15" s="14"/>
      <c r="I15" s="14"/>
      <c r="J15" s="14"/>
      <c r="K15" s="14"/>
      <c r="L15" s="67"/>
      <c r="M15" s="14"/>
      <c r="N15" s="14"/>
      <c r="O15" s="14"/>
      <c r="P15" s="14"/>
      <c r="Q15" s="14"/>
      <c r="R15" s="14"/>
      <c r="S15" s="14"/>
      <c r="T15" s="14"/>
      <c r="U15" s="14"/>
      <c r="V15" s="67"/>
      <c r="W15" s="14"/>
      <c r="X15" s="14"/>
      <c r="Y15" s="14"/>
      <c r="Z15" s="14"/>
      <c r="AA15" s="14"/>
      <c r="AB15" s="14"/>
      <c r="AC15" s="14"/>
      <c r="AD15" s="14"/>
      <c r="AE15" s="67"/>
      <c r="AF15" s="14"/>
      <c r="AG15" s="14"/>
      <c r="AH15" s="14"/>
      <c r="AI15" s="14"/>
      <c r="AJ15" s="14"/>
      <c r="AK15" s="14"/>
    </row>
    <row r="16" spans="1:38" x14ac:dyDescent="0.25">
      <c r="A16" s="13"/>
      <c r="B16" s="13"/>
      <c r="C16" s="14"/>
      <c r="D16" s="14"/>
      <c r="E16" s="14"/>
      <c r="F16" s="14"/>
      <c r="G16" s="67"/>
      <c r="H16" s="14"/>
      <c r="I16" s="14"/>
      <c r="J16" s="14"/>
      <c r="K16" s="14"/>
      <c r="L16" s="67"/>
      <c r="M16" s="14"/>
      <c r="N16" s="14"/>
      <c r="O16" s="14"/>
      <c r="P16" s="14"/>
      <c r="Q16" s="14"/>
      <c r="R16" s="14"/>
      <c r="S16" s="14"/>
      <c r="T16" s="14"/>
      <c r="U16" s="14"/>
      <c r="V16" s="67"/>
      <c r="W16" s="14"/>
      <c r="X16" s="14"/>
      <c r="Y16" s="14"/>
      <c r="Z16" s="14"/>
      <c r="AA16" s="14"/>
      <c r="AB16" s="14"/>
      <c r="AC16" s="14"/>
      <c r="AD16" s="14"/>
      <c r="AE16" s="67"/>
      <c r="AF16" s="14"/>
      <c r="AG16" s="14"/>
      <c r="AH16" s="14"/>
      <c r="AI16" s="14"/>
      <c r="AJ16" s="14"/>
      <c r="AK16" s="14"/>
    </row>
    <row r="17" spans="1:37" hidden="1" x14ac:dyDescent="0.25">
      <c r="A17" s="13"/>
      <c r="B17" s="13"/>
      <c r="C17" s="14"/>
      <c r="D17" s="14"/>
      <c r="E17" s="14"/>
      <c r="F17" s="14"/>
      <c r="G17" s="67"/>
      <c r="H17" s="14"/>
      <c r="I17" s="14"/>
      <c r="J17" s="14"/>
      <c r="K17" s="14"/>
      <c r="L17" s="67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67"/>
      <c r="AF17" s="14"/>
      <c r="AG17" s="14"/>
      <c r="AH17" s="14"/>
      <c r="AI17" s="14"/>
      <c r="AJ17" s="14"/>
      <c r="AK17" s="14"/>
    </row>
    <row r="18" spans="1:37" hidden="1" x14ac:dyDescent="0.25">
      <c r="A18" s="13"/>
      <c r="B18" s="13"/>
      <c r="C18" s="14"/>
      <c r="D18" s="14"/>
      <c r="E18" s="14"/>
      <c r="F18" s="14"/>
      <c r="G18" s="67"/>
      <c r="H18" s="14"/>
      <c r="I18" s="14"/>
      <c r="J18" s="14"/>
      <c r="K18" s="14"/>
      <c r="L18" s="67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67"/>
      <c r="AF18" s="14"/>
      <c r="AG18" s="14"/>
      <c r="AH18" s="14"/>
      <c r="AI18" s="14"/>
      <c r="AJ18" s="14"/>
      <c r="AK18" s="14"/>
    </row>
    <row r="19" spans="1:37" hidden="1" x14ac:dyDescent="0.25">
      <c r="A19" s="13"/>
      <c r="B19" s="13"/>
      <c r="C19" s="14"/>
      <c r="D19" s="14"/>
      <c r="E19" s="14"/>
      <c r="F19" s="14"/>
      <c r="G19" s="67"/>
      <c r="H19" s="14"/>
      <c r="I19" s="14"/>
      <c r="J19" s="14"/>
      <c r="K19" s="14"/>
      <c r="L19" s="67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</row>
    <row r="20" spans="1:37" hidden="1" x14ac:dyDescent="0.25">
      <c r="A20" s="13"/>
      <c r="B20" s="13"/>
      <c r="C20" s="14"/>
      <c r="D20" s="14"/>
      <c r="E20" s="14"/>
      <c r="F20" s="14"/>
      <c r="G20" s="67"/>
      <c r="H20" s="14"/>
      <c r="I20" s="14"/>
      <c r="J20" s="14"/>
      <c r="K20" s="14"/>
      <c r="L20" s="67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idden="1" x14ac:dyDescent="0.25">
      <c r="A21" s="13"/>
      <c r="B21" s="13"/>
      <c r="C21" s="14"/>
      <c r="D21" s="14"/>
      <c r="E21" s="14"/>
      <c r="F21" s="14"/>
      <c r="G21" s="67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1:37" hidden="1" x14ac:dyDescent="0.25">
      <c r="A22" s="13"/>
      <c r="B22" s="13"/>
      <c r="C22" s="14"/>
      <c r="D22" s="14"/>
      <c r="E22" s="14"/>
      <c r="F22" s="14"/>
      <c r="G22" s="67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</row>
    <row r="23" spans="1:37" hidden="1" x14ac:dyDescent="0.25">
      <c r="A23" s="13"/>
      <c r="B23" s="13"/>
      <c r="C23" s="14"/>
      <c r="D23" s="14"/>
      <c r="E23" s="14"/>
      <c r="F23" s="14"/>
      <c r="G23" s="67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</row>
    <row r="24" spans="1:37" hidden="1" x14ac:dyDescent="0.25">
      <c r="A24" s="13"/>
      <c r="B24" s="13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</row>
    <row r="25" spans="1:37" hidden="1" x14ac:dyDescent="0.25">
      <c r="A25" s="13"/>
      <c r="B25" s="13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1:37" hidden="1" x14ac:dyDescent="0.25">
      <c r="A26" s="13"/>
      <c r="B26" s="13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</row>
    <row r="27" spans="1:37" hidden="1" x14ac:dyDescent="0.25">
      <c r="A27" s="13"/>
      <c r="B27" s="13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</row>
    <row r="28" spans="1:37" hidden="1" x14ac:dyDescent="0.25">
      <c r="A28" s="13"/>
      <c r="B28" s="13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</row>
    <row r="29" spans="1:37" hidden="1" x14ac:dyDescent="0.25">
      <c r="A29" s="13"/>
      <c r="B29" s="13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</row>
    <row r="30" spans="1:37" hidden="1" x14ac:dyDescent="0.25">
      <c r="A30" s="13"/>
      <c r="B30" s="13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</row>
    <row r="31" spans="1:37" hidden="1" x14ac:dyDescent="0.25">
      <c r="A31" s="13"/>
      <c r="B31" s="13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</row>
    <row r="32" spans="1:37" hidden="1" x14ac:dyDescent="0.25">
      <c r="A32" s="13"/>
      <c r="B32" s="13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</row>
    <row r="33" spans="1:37" hidden="1" x14ac:dyDescent="0.25">
      <c r="A33" s="13"/>
      <c r="B33" s="13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</row>
    <row r="34" spans="1:37" hidden="1" x14ac:dyDescent="0.25">
      <c r="A34" s="13"/>
      <c r="B34" s="13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</row>
    <row r="35" spans="1:37" hidden="1" x14ac:dyDescent="0.25">
      <c r="A35" s="13"/>
      <c r="B35" s="13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</row>
    <row r="36" spans="1:37" hidden="1" x14ac:dyDescent="0.25">
      <c r="A36" s="13"/>
      <c r="B36" s="13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</row>
    <row r="37" spans="1:37" hidden="1" x14ac:dyDescent="0.25">
      <c r="A37" s="13"/>
      <c r="B37" s="13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</row>
    <row r="38" spans="1:37" hidden="1" x14ac:dyDescent="0.25">
      <c r="A38" s="13"/>
      <c r="B38" s="13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</row>
    <row r="39" spans="1:37" hidden="1" x14ac:dyDescent="0.25">
      <c r="A39" s="13"/>
      <c r="B39" s="13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37" hidden="1" x14ac:dyDescent="0.25">
      <c r="A40" s="13"/>
      <c r="B40" s="13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</row>
    <row r="41" spans="1:37" hidden="1" x14ac:dyDescent="0.25">
      <c r="A41" s="13"/>
      <c r="B41" s="13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</row>
    <row r="42" spans="1:37" hidden="1" x14ac:dyDescent="0.25">
      <c r="A42" s="13"/>
      <c r="B42" s="13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</row>
    <row r="43" spans="1:37" hidden="1" x14ac:dyDescent="0.25">
      <c r="A43" s="13"/>
      <c r="B43" s="13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</row>
    <row r="44" spans="1:37" hidden="1" x14ac:dyDescent="0.25">
      <c r="A44" s="13"/>
      <c r="B44" s="13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</row>
    <row r="45" spans="1:37" hidden="1" x14ac:dyDescent="0.25">
      <c r="A45" s="13"/>
      <c r="B45" s="13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</row>
    <row r="46" spans="1:37" hidden="1" x14ac:dyDescent="0.25">
      <c r="A46" s="13"/>
      <c r="B46" s="13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</row>
    <row r="47" spans="1:37" hidden="1" x14ac:dyDescent="0.25">
      <c r="A47" s="13"/>
      <c r="B47" s="13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</row>
    <row r="48" spans="1:37" hidden="1" x14ac:dyDescent="0.25">
      <c r="A48" s="13"/>
      <c r="B48" s="13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</row>
    <row r="49" spans="1:37" hidden="1" x14ac:dyDescent="0.25">
      <c r="A49" s="13"/>
      <c r="B49" s="13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</row>
    <row r="50" spans="1:37" hidden="1" x14ac:dyDescent="0.25">
      <c r="A50" s="13"/>
      <c r="B50" s="13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</row>
    <row r="51" spans="1:37" hidden="1" x14ac:dyDescent="0.25">
      <c r="A51" s="13"/>
      <c r="B51" s="13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</row>
    <row r="52" spans="1:37" hidden="1" x14ac:dyDescent="0.25">
      <c r="A52" s="13"/>
      <c r="B52" s="13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</row>
    <row r="53" spans="1:37" hidden="1" x14ac:dyDescent="0.25">
      <c r="A53" s="13"/>
      <c r="B53" s="13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</row>
    <row r="54" spans="1:37" hidden="1" x14ac:dyDescent="0.25">
      <c r="A54" s="13"/>
      <c r="B54" s="13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</row>
    <row r="55" spans="1:37" hidden="1" x14ac:dyDescent="0.25">
      <c r="A55" s="13"/>
      <c r="B55" s="13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</row>
    <row r="56" spans="1:37" hidden="1" x14ac:dyDescent="0.25">
      <c r="A56" s="13"/>
      <c r="B56" s="13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</row>
    <row r="57" spans="1:37" hidden="1" x14ac:dyDescent="0.25">
      <c r="A57" s="13"/>
      <c r="B57" s="13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</row>
    <row r="58" spans="1:37" hidden="1" x14ac:dyDescent="0.25">
      <c r="A58" s="13"/>
      <c r="B58" s="13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</row>
    <row r="59" spans="1:37" hidden="1" x14ac:dyDescent="0.25">
      <c r="A59" s="13"/>
      <c r="B59" s="13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</row>
    <row r="60" spans="1:37" hidden="1" x14ac:dyDescent="0.25">
      <c r="A60" s="13"/>
      <c r="B60" s="13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</row>
    <row r="61" spans="1:37" hidden="1" x14ac:dyDescent="0.25">
      <c r="A61" s="13"/>
      <c r="B61" s="13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</row>
    <row r="62" spans="1:37" hidden="1" x14ac:dyDescent="0.25">
      <c r="A62" s="13"/>
      <c r="B62" s="13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</row>
    <row r="63" spans="1:37" hidden="1" x14ac:dyDescent="0.25">
      <c r="A63" s="13"/>
      <c r="B63" s="13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</row>
    <row r="64" spans="1:37" hidden="1" x14ac:dyDescent="0.25">
      <c r="A64" s="13"/>
      <c r="B64" s="13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</row>
    <row r="65" spans="1:37" hidden="1" x14ac:dyDescent="0.25">
      <c r="A65" s="13"/>
      <c r="B65" s="13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</row>
    <row r="66" spans="1:37" hidden="1" x14ac:dyDescent="0.25">
      <c r="A66" s="13"/>
      <c r="B66" s="13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</row>
    <row r="67" spans="1:37" hidden="1" x14ac:dyDescent="0.25">
      <c r="A67" s="13"/>
      <c r="B67" s="13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4"/>
      <c r="AH67" s="14"/>
      <c r="AI67" s="14"/>
      <c r="AJ67" s="14"/>
      <c r="AK67" s="14"/>
    </row>
    <row r="68" spans="1:37" hidden="1" x14ac:dyDescent="0.25">
      <c r="A68" s="13"/>
      <c r="B68" s="13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</row>
    <row r="69" spans="1:37" hidden="1" x14ac:dyDescent="0.25">
      <c r="A69" s="13"/>
      <c r="B69" s="13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/>
      <c r="AD69" s="14"/>
      <c r="AE69" s="14"/>
      <c r="AF69" s="14"/>
      <c r="AG69" s="14"/>
      <c r="AH69" s="14"/>
      <c r="AI69" s="14"/>
      <c r="AJ69" s="14"/>
      <c r="AK69" s="14"/>
    </row>
    <row r="70" spans="1:37" hidden="1" x14ac:dyDescent="0.25"/>
    <row r="71" spans="1:37" hidden="1" x14ac:dyDescent="0.25"/>
    <row r="72" spans="1:37" hidden="1" x14ac:dyDescent="0.25"/>
    <row r="73" spans="1:37" hidden="1" x14ac:dyDescent="0.25"/>
    <row r="74" spans="1:37" hidden="1" x14ac:dyDescent="0.25">
      <c r="AG74" t="s">
        <v>260</v>
      </c>
      <c r="AK74" s="21">
        <f>4931503.47+7146327.3+115648.95+10488112.17+969988.17+982962.06+143976.85+913192.75+113946.07+1525926.73+243941.59+1007308.98+138917.85+2676806.72+377764.15+1276566.76+106234.9+33948.88</f>
        <v>33193074.350000001</v>
      </c>
    </row>
    <row r="75" spans="1:37" hidden="1" x14ac:dyDescent="0.25">
      <c r="AG75" t="s">
        <v>233</v>
      </c>
      <c r="AK75" s="65">
        <f>SUM(AK76:AK91)</f>
        <v>17135685.93</v>
      </c>
    </row>
    <row r="76" spans="1:37" hidden="1" x14ac:dyDescent="0.25">
      <c r="AH76" t="s">
        <v>234</v>
      </c>
      <c r="AK76" s="65"/>
    </row>
    <row r="77" spans="1:37" hidden="1" x14ac:dyDescent="0.25">
      <c r="AH77" t="s">
        <v>235</v>
      </c>
      <c r="AK77" s="65"/>
    </row>
    <row r="78" spans="1:37" hidden="1" x14ac:dyDescent="0.25">
      <c r="AH78" t="s">
        <v>236</v>
      </c>
      <c r="AK78" s="65"/>
    </row>
    <row r="79" spans="1:37" hidden="1" x14ac:dyDescent="0.25">
      <c r="AH79" t="s">
        <v>262</v>
      </c>
      <c r="AK79" s="65">
        <f>5707897.66+218625.35</f>
        <v>5926523.0099999998</v>
      </c>
    </row>
    <row r="80" spans="1:37" hidden="1" x14ac:dyDescent="0.25">
      <c r="AH80" t="s">
        <v>237</v>
      </c>
      <c r="AK80" s="65"/>
    </row>
    <row r="81" spans="33:37" hidden="1" x14ac:dyDescent="0.25">
      <c r="AH81" t="s">
        <v>238</v>
      </c>
      <c r="AK81" s="65"/>
    </row>
    <row r="82" spans="33:37" hidden="1" x14ac:dyDescent="0.25">
      <c r="AH82" t="s">
        <v>274</v>
      </c>
      <c r="AK82" s="65">
        <f>223187.91+1827290</f>
        <v>2050477.91</v>
      </c>
    </row>
    <row r="83" spans="33:37" hidden="1" x14ac:dyDescent="0.25">
      <c r="AH83" t="s">
        <v>273</v>
      </c>
      <c r="AK83" s="65">
        <f>148150+198292+198250+198250+488218.46+97817.49+57016.95+354662.5+669490+200</f>
        <v>2410347.4</v>
      </c>
    </row>
    <row r="84" spans="33:37" hidden="1" x14ac:dyDescent="0.25">
      <c r="AH84" t="s">
        <v>272</v>
      </c>
      <c r="AK84" s="65"/>
    </row>
    <row r="85" spans="33:37" hidden="1" x14ac:dyDescent="0.25">
      <c r="AH85" t="s">
        <v>271</v>
      </c>
      <c r="AK85" s="65">
        <v>5000</v>
      </c>
    </row>
    <row r="86" spans="33:37" hidden="1" x14ac:dyDescent="0.25">
      <c r="AH86" t="s">
        <v>270</v>
      </c>
      <c r="AK86" s="65">
        <v>352166</v>
      </c>
    </row>
    <row r="87" spans="33:37" hidden="1" x14ac:dyDescent="0.25">
      <c r="AH87" t="s">
        <v>240</v>
      </c>
      <c r="AK87" s="65"/>
    </row>
    <row r="88" spans="33:37" hidden="1" x14ac:dyDescent="0.25">
      <c r="AH88" t="s">
        <v>265</v>
      </c>
      <c r="AK88" s="65">
        <f>1241110+498447.5</f>
        <v>1739557.5</v>
      </c>
    </row>
    <row r="89" spans="33:37" hidden="1" x14ac:dyDescent="0.25">
      <c r="AH89" t="s">
        <v>266</v>
      </c>
      <c r="AK89" s="65">
        <f>999870+609705+422000+499373+499938</f>
        <v>3030886</v>
      </c>
    </row>
    <row r="90" spans="33:37" hidden="1" x14ac:dyDescent="0.25">
      <c r="AH90" t="s">
        <v>243</v>
      </c>
      <c r="AK90" s="65">
        <v>363063</v>
      </c>
    </row>
    <row r="91" spans="33:37" hidden="1" x14ac:dyDescent="0.25">
      <c r="AH91" t="s">
        <v>261</v>
      </c>
      <c r="AK91" s="65">
        <f>1165508.21+92156.9</f>
        <v>1257665.1099999999</v>
      </c>
    </row>
    <row r="92" spans="33:37" hidden="1" x14ac:dyDescent="0.25">
      <c r="AG92" t="s">
        <v>239</v>
      </c>
      <c r="AK92" s="65">
        <f>SUM(AK93:AK100)</f>
        <v>17964859.199999999</v>
      </c>
    </row>
    <row r="93" spans="33:37" hidden="1" x14ac:dyDescent="0.25">
      <c r="AH93" t="s">
        <v>267</v>
      </c>
      <c r="AK93" s="65">
        <v>498550</v>
      </c>
    </row>
    <row r="94" spans="33:37" hidden="1" x14ac:dyDescent="0.25">
      <c r="AH94" t="s">
        <v>268</v>
      </c>
      <c r="AK94" s="65">
        <v>2657476.52</v>
      </c>
    </row>
    <row r="95" spans="33:37" hidden="1" x14ac:dyDescent="0.25">
      <c r="AH95" t="s">
        <v>269</v>
      </c>
      <c r="AK95" s="65">
        <v>13000</v>
      </c>
    </row>
    <row r="96" spans="33:37" hidden="1" x14ac:dyDescent="0.25">
      <c r="AH96" t="s">
        <v>240</v>
      </c>
      <c r="AI96" t="s">
        <v>241</v>
      </c>
      <c r="AK96" s="65">
        <f>603710+4227978.53+79027.8+150000</f>
        <v>5060716.33</v>
      </c>
    </row>
    <row r="97" spans="34:37" hidden="1" x14ac:dyDescent="0.25">
      <c r="AI97" t="s">
        <v>242</v>
      </c>
      <c r="AK97" s="65"/>
    </row>
    <row r="98" spans="34:37" hidden="1" x14ac:dyDescent="0.25">
      <c r="AH98" t="s">
        <v>263</v>
      </c>
      <c r="AK98" s="65">
        <f>1737699.38+155924.4</f>
        <v>1893623.7799999998</v>
      </c>
    </row>
    <row r="99" spans="34:37" hidden="1" x14ac:dyDescent="0.25">
      <c r="AH99" t="s">
        <v>264</v>
      </c>
      <c r="AK99" s="65">
        <f>1199978.97+113979.05</f>
        <v>1313958.02</v>
      </c>
    </row>
    <row r="100" spans="34:37" hidden="1" x14ac:dyDescent="0.25">
      <c r="AH100" t="s">
        <v>275</v>
      </c>
      <c r="AK100" s="65">
        <f>400+200+200+195607.3+200+200+143136.7+200+146472+200+200+200+94418.94+1000000+195533.3+196258.61+196828.13+197513.12+197950+197950+197950+197694+484693.55+200+493701.44+253682.89+1620000+371702.71+144241.86</f>
        <v>6527534.5499999998</v>
      </c>
    </row>
    <row r="101" spans="34:37" hidden="1" x14ac:dyDescent="0.25">
      <c r="AK101" s="65"/>
    </row>
    <row r="102" spans="34:37" hidden="1" x14ac:dyDescent="0.25">
      <c r="AK102" s="65"/>
    </row>
    <row r="103" spans="34:37" hidden="1" x14ac:dyDescent="0.25">
      <c r="AK103" s="65">
        <f>AK92+AK75+AK74</f>
        <v>68293619.479999989</v>
      </c>
    </row>
    <row r="104" spans="34:37" hidden="1" x14ac:dyDescent="0.25">
      <c r="AK104" s="65">
        <f>AK103-67930556.48</f>
        <v>363062.9999999851</v>
      </c>
    </row>
    <row r="105" spans="34:37" x14ac:dyDescent="0.25">
      <c r="AK105" s="65"/>
    </row>
    <row r="120" spans="1:37" ht="15.75" thickBot="1" x14ac:dyDescent="0.3"/>
    <row r="121" spans="1:37" ht="15.75" thickBot="1" x14ac:dyDescent="0.3">
      <c r="A121" s="1"/>
      <c r="B121" s="1"/>
      <c r="C121" s="342" t="s">
        <v>0</v>
      </c>
      <c r="D121" s="344"/>
      <c r="E121" s="344"/>
      <c r="F121" s="344"/>
      <c r="G121" s="344"/>
      <c r="H121" s="344"/>
      <c r="I121" s="344"/>
      <c r="J121" s="344"/>
      <c r="K121" s="344"/>
      <c r="L121" s="344"/>
      <c r="M121" s="344"/>
      <c r="N121" s="344"/>
      <c r="O121" s="344"/>
      <c r="P121" s="344"/>
      <c r="Q121" s="344"/>
      <c r="R121" s="344"/>
      <c r="S121" s="344"/>
      <c r="T121" s="344"/>
      <c r="U121" s="344"/>
      <c r="V121" s="344"/>
      <c r="W121" s="344"/>
      <c r="X121" s="344"/>
      <c r="Y121" s="344"/>
      <c r="Z121" s="344"/>
      <c r="AA121" s="344"/>
      <c r="AB121" s="344"/>
      <c r="AC121" s="344"/>
      <c r="AD121" s="344"/>
      <c r="AE121" s="343"/>
      <c r="AF121" s="342" t="s">
        <v>6</v>
      </c>
      <c r="AG121" s="344"/>
      <c r="AH121" s="344"/>
      <c r="AI121" s="344"/>
      <c r="AJ121" s="344"/>
      <c r="AK121" s="1"/>
    </row>
    <row r="122" spans="1:37" ht="15.75" thickBot="1" x14ac:dyDescent="0.3">
      <c r="A122" s="2"/>
      <c r="B122" s="8" t="s">
        <v>78</v>
      </c>
      <c r="C122" s="342" t="s">
        <v>1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3"/>
      <c r="N122" s="342" t="s">
        <v>2</v>
      </c>
      <c r="O122" s="344"/>
      <c r="P122" s="345"/>
      <c r="Q122" s="345"/>
      <c r="R122" s="345"/>
      <c r="S122" s="345"/>
      <c r="T122" s="345"/>
      <c r="U122" s="345"/>
      <c r="V122" s="346"/>
      <c r="W122" s="342" t="s">
        <v>3</v>
      </c>
      <c r="X122" s="344"/>
      <c r="Y122" s="344"/>
      <c r="Z122" s="344"/>
      <c r="AA122" s="344"/>
      <c r="AB122" s="344"/>
      <c r="AC122" s="344"/>
      <c r="AD122" s="343"/>
      <c r="AE122" s="9"/>
      <c r="AF122" s="9"/>
      <c r="AG122" s="9"/>
      <c r="AH122" s="9"/>
      <c r="AI122" s="9"/>
      <c r="AJ122" s="9"/>
      <c r="AK122" s="2"/>
    </row>
    <row r="123" spans="1:37" ht="15.75" thickBot="1" x14ac:dyDescent="0.3">
      <c r="A123" s="2"/>
      <c r="B123" s="8" t="s">
        <v>79</v>
      </c>
      <c r="C123" s="342" t="s">
        <v>60</v>
      </c>
      <c r="D123" s="344"/>
      <c r="E123" s="344"/>
      <c r="F123" s="344"/>
      <c r="G123" s="343"/>
      <c r="H123" s="342" t="s">
        <v>59</v>
      </c>
      <c r="I123" s="344"/>
      <c r="J123" s="344"/>
      <c r="K123" s="344"/>
      <c r="L123" s="344"/>
      <c r="M123" s="9"/>
      <c r="N123" s="9"/>
      <c r="O123" s="9" t="s">
        <v>41</v>
      </c>
      <c r="P123" s="342" t="s">
        <v>33</v>
      </c>
      <c r="Q123" s="344"/>
      <c r="R123" s="344"/>
      <c r="S123" s="343"/>
      <c r="T123" s="19"/>
      <c r="U123" s="19" t="s">
        <v>52</v>
      </c>
      <c r="V123" s="19"/>
      <c r="W123" s="344" t="s">
        <v>4</v>
      </c>
      <c r="X123" s="344"/>
      <c r="Y123" s="344"/>
      <c r="Z123" s="343"/>
      <c r="AA123" s="342" t="s">
        <v>5</v>
      </c>
      <c r="AB123" s="344"/>
      <c r="AC123" s="344"/>
      <c r="AD123" s="9"/>
      <c r="AE123" s="8"/>
      <c r="AF123" s="8"/>
      <c r="AG123" s="8"/>
      <c r="AH123" s="8"/>
      <c r="AI123" s="8"/>
      <c r="AJ123" s="8"/>
      <c r="AK123" s="8" t="s">
        <v>88</v>
      </c>
    </row>
    <row r="124" spans="1:37" ht="15.75" thickBot="1" x14ac:dyDescent="0.3">
      <c r="A124" s="8" t="s">
        <v>81</v>
      </c>
      <c r="B124" s="8" t="s">
        <v>80</v>
      </c>
      <c r="C124" s="342" t="s">
        <v>61</v>
      </c>
      <c r="D124" s="343"/>
      <c r="E124" s="9"/>
      <c r="F124" s="9"/>
      <c r="G124" s="9"/>
      <c r="H124" s="9"/>
      <c r="I124" s="9"/>
      <c r="J124" s="9" t="s">
        <v>20</v>
      </c>
      <c r="K124" s="9"/>
      <c r="L124" s="9"/>
      <c r="M124" s="8" t="s">
        <v>56</v>
      </c>
      <c r="N124" s="8" t="s">
        <v>46</v>
      </c>
      <c r="O124" s="8" t="s">
        <v>37</v>
      </c>
      <c r="P124" s="9"/>
      <c r="Q124" s="9"/>
      <c r="R124" s="9" t="s">
        <v>36</v>
      </c>
      <c r="S124" s="9" t="s">
        <v>36</v>
      </c>
      <c r="T124" s="8" t="s">
        <v>50</v>
      </c>
      <c r="U124" s="8" t="s">
        <v>53</v>
      </c>
      <c r="V124" s="8" t="s">
        <v>56</v>
      </c>
      <c r="W124" s="64" t="s">
        <v>7</v>
      </c>
      <c r="X124" s="9" t="s">
        <v>14</v>
      </c>
      <c r="Y124" s="9" t="s">
        <v>15</v>
      </c>
      <c r="Z124" s="9" t="s">
        <v>18</v>
      </c>
      <c r="AA124" s="9"/>
      <c r="AB124" s="9"/>
      <c r="AC124" s="9" t="s">
        <v>27</v>
      </c>
      <c r="AD124" s="8" t="s">
        <v>30</v>
      </c>
      <c r="AE124" s="10" t="s">
        <v>56</v>
      </c>
      <c r="AF124" s="10" t="s">
        <v>82</v>
      </c>
      <c r="AG124" s="10" t="s">
        <v>84</v>
      </c>
      <c r="AH124" s="10" t="s">
        <v>85</v>
      </c>
      <c r="AI124" s="10" t="s">
        <v>86</v>
      </c>
      <c r="AJ124" s="10" t="s">
        <v>56</v>
      </c>
      <c r="AK124" s="8" t="s">
        <v>80</v>
      </c>
    </row>
    <row r="125" spans="1:37" x14ac:dyDescent="0.25">
      <c r="A125" s="2"/>
      <c r="B125" s="2"/>
      <c r="C125" s="9"/>
      <c r="D125" s="9" t="s">
        <v>76</v>
      </c>
      <c r="E125" s="8" t="s">
        <v>62</v>
      </c>
      <c r="F125" s="8" t="s">
        <v>63</v>
      </c>
      <c r="G125" s="8" t="s">
        <v>25</v>
      </c>
      <c r="H125" s="8" t="s">
        <v>65</v>
      </c>
      <c r="I125" s="8" t="s">
        <v>67</v>
      </c>
      <c r="J125" s="8" t="s">
        <v>8</v>
      </c>
      <c r="K125" s="8" t="s">
        <v>63</v>
      </c>
      <c r="L125" s="8" t="s">
        <v>25</v>
      </c>
      <c r="M125" s="8" t="s">
        <v>73</v>
      </c>
      <c r="N125" s="8" t="s">
        <v>47</v>
      </c>
      <c r="O125" s="8" t="s">
        <v>43</v>
      </c>
      <c r="P125" s="8" t="s">
        <v>36</v>
      </c>
      <c r="Q125" s="8" t="s">
        <v>41</v>
      </c>
      <c r="R125" s="8" t="s">
        <v>37</v>
      </c>
      <c r="S125" s="8" t="s">
        <v>8</v>
      </c>
      <c r="T125" s="8" t="s">
        <v>51</v>
      </c>
      <c r="U125" s="8" t="s">
        <v>54</v>
      </c>
      <c r="V125" s="8" t="s">
        <v>57</v>
      </c>
      <c r="W125" s="20" t="s">
        <v>8</v>
      </c>
      <c r="X125" s="8" t="s">
        <v>11</v>
      </c>
      <c r="Y125" s="8" t="s">
        <v>16</v>
      </c>
      <c r="Z125" s="8" t="s">
        <v>19</v>
      </c>
      <c r="AA125" s="8" t="s">
        <v>21</v>
      </c>
      <c r="AB125" s="8" t="s">
        <v>23</v>
      </c>
      <c r="AC125" s="8" t="s">
        <v>26</v>
      </c>
      <c r="AD125" s="8" t="s">
        <v>31</v>
      </c>
      <c r="AE125" s="10" t="s">
        <v>32</v>
      </c>
      <c r="AF125" s="10" t="s">
        <v>83</v>
      </c>
      <c r="AG125" s="10" t="s">
        <v>83</v>
      </c>
      <c r="AH125" s="10" t="s">
        <v>83</v>
      </c>
      <c r="AI125" s="10" t="s">
        <v>83</v>
      </c>
      <c r="AJ125" s="10" t="s">
        <v>87</v>
      </c>
      <c r="AK125" s="2"/>
    </row>
    <row r="126" spans="1:37" x14ac:dyDescent="0.25">
      <c r="A126" s="2"/>
      <c r="B126" s="2"/>
      <c r="C126" s="8" t="s">
        <v>74</v>
      </c>
      <c r="D126" s="8" t="s">
        <v>77</v>
      </c>
      <c r="E126" s="8" t="s">
        <v>35</v>
      </c>
      <c r="F126" s="8" t="s">
        <v>64</v>
      </c>
      <c r="G126" s="8" t="s">
        <v>35</v>
      </c>
      <c r="H126" s="8" t="s">
        <v>66</v>
      </c>
      <c r="I126" s="8" t="s">
        <v>68</v>
      </c>
      <c r="J126" s="8" t="s">
        <v>70</v>
      </c>
      <c r="K126" s="8" t="s">
        <v>20</v>
      </c>
      <c r="L126" s="8" t="s">
        <v>72</v>
      </c>
      <c r="M126" s="8" t="s">
        <v>58</v>
      </c>
      <c r="N126" s="8" t="s">
        <v>48</v>
      </c>
      <c r="O126" s="8" t="s">
        <v>44</v>
      </c>
      <c r="P126" s="8" t="s">
        <v>37</v>
      </c>
      <c r="Q126" s="8" t="s">
        <v>37</v>
      </c>
      <c r="R126" s="8" t="s">
        <v>38</v>
      </c>
      <c r="S126" s="8" t="s">
        <v>34</v>
      </c>
      <c r="T126" s="8"/>
      <c r="U126" s="8" t="s">
        <v>55</v>
      </c>
      <c r="V126" s="8" t="s">
        <v>58</v>
      </c>
      <c r="W126" s="20" t="s">
        <v>9</v>
      </c>
      <c r="X126" s="8" t="s">
        <v>12</v>
      </c>
      <c r="Y126" s="8" t="s">
        <v>17</v>
      </c>
      <c r="Z126" s="8" t="s">
        <v>20</v>
      </c>
      <c r="AA126" s="8" t="s">
        <v>22</v>
      </c>
      <c r="AB126" s="8" t="s">
        <v>24</v>
      </c>
      <c r="AC126" s="8" t="s">
        <v>28</v>
      </c>
      <c r="AD126" s="8" t="s">
        <v>32</v>
      </c>
      <c r="AE126" s="5"/>
      <c r="AF126" s="8"/>
      <c r="AG126" s="8"/>
      <c r="AH126" s="8"/>
      <c r="AI126" s="8"/>
      <c r="AJ126" s="8"/>
      <c r="AK126" s="2"/>
    </row>
    <row r="127" spans="1:37" x14ac:dyDescent="0.25">
      <c r="A127" s="2"/>
      <c r="B127" s="2"/>
      <c r="C127" s="8" t="s">
        <v>75</v>
      </c>
      <c r="D127" s="8" t="s">
        <v>35</v>
      </c>
      <c r="E127" s="8"/>
      <c r="F127" s="8" t="s">
        <v>226</v>
      </c>
      <c r="G127" s="8" t="s">
        <v>47</v>
      </c>
      <c r="H127" s="8"/>
      <c r="I127" s="8" t="s">
        <v>69</v>
      </c>
      <c r="J127" s="8" t="s">
        <v>71</v>
      </c>
      <c r="K127" s="8"/>
      <c r="L127" s="8" t="s">
        <v>47</v>
      </c>
      <c r="M127" s="8"/>
      <c r="N127" s="8"/>
      <c r="O127" s="8" t="s">
        <v>45</v>
      </c>
      <c r="P127" s="8" t="s">
        <v>42</v>
      </c>
      <c r="Q127" s="8" t="s">
        <v>40</v>
      </c>
      <c r="R127" s="8" t="s">
        <v>39</v>
      </c>
      <c r="S127" s="8" t="s">
        <v>49</v>
      </c>
      <c r="T127" s="8"/>
      <c r="U127" s="8"/>
      <c r="V127" s="8"/>
      <c r="W127" s="20" t="s">
        <v>10</v>
      </c>
      <c r="X127" s="8" t="s">
        <v>13</v>
      </c>
      <c r="Y127" s="8"/>
      <c r="Z127" s="8"/>
      <c r="AA127" s="8"/>
      <c r="AB127" s="8"/>
      <c r="AC127" s="8" t="s">
        <v>29</v>
      </c>
      <c r="AD127" s="8"/>
      <c r="AE127" s="5"/>
      <c r="AF127" s="8"/>
      <c r="AG127" s="8"/>
      <c r="AH127" s="8"/>
      <c r="AI127" s="8"/>
      <c r="AJ127" s="8"/>
      <c r="AK127" s="2"/>
    </row>
    <row r="128" spans="1:37" x14ac:dyDescent="0.25">
      <c r="A128" s="13"/>
      <c r="B128" s="13"/>
      <c r="C128" s="15" t="s">
        <v>228</v>
      </c>
      <c r="D128" s="13"/>
      <c r="E128" s="13"/>
      <c r="F128" s="16" t="s">
        <v>227</v>
      </c>
      <c r="G128" s="66"/>
      <c r="H128" s="13" t="s">
        <v>232</v>
      </c>
      <c r="I128" s="13" t="s">
        <v>231</v>
      </c>
      <c r="J128" s="17" t="s">
        <v>230</v>
      </c>
      <c r="K128" s="13" t="s">
        <v>229</v>
      </c>
      <c r="L128" s="66"/>
      <c r="M128" s="13"/>
      <c r="N128" s="13"/>
      <c r="O128" s="13"/>
      <c r="P128" s="13"/>
      <c r="Q128" s="13"/>
      <c r="R128" s="17"/>
      <c r="S128" s="17"/>
      <c r="T128" s="17"/>
      <c r="U128" s="17"/>
      <c r="V128" s="18"/>
      <c r="W128" s="13"/>
      <c r="X128" s="13"/>
      <c r="Y128" s="13"/>
      <c r="Z128" s="13"/>
      <c r="AA128" s="13"/>
      <c r="AB128" s="13"/>
      <c r="AC128" s="13"/>
      <c r="AD128" s="13"/>
      <c r="AE128" s="18"/>
      <c r="AF128" s="18"/>
      <c r="AG128" s="18"/>
      <c r="AH128" s="18"/>
      <c r="AI128" s="18"/>
      <c r="AJ128" s="18"/>
      <c r="AK128" s="13"/>
    </row>
    <row r="129" spans="1:38" x14ac:dyDescent="0.25">
      <c r="A129" s="13" t="s">
        <v>225</v>
      </c>
      <c r="B129" s="14">
        <f>36676.13+31000+3035380.8+4465518.68+820000+112528.51</f>
        <v>8501104.1199999992</v>
      </c>
      <c r="C129" s="14">
        <v>240000</v>
      </c>
      <c r="D129" s="14">
        <v>0</v>
      </c>
      <c r="E129" s="14"/>
      <c r="F129" s="14">
        <f>500000+10000+90000+30000+50000+6000</f>
        <v>686000</v>
      </c>
      <c r="G129" s="67">
        <f>SUM(C129:F129)</f>
        <v>926000</v>
      </c>
      <c r="H129" s="14">
        <f>30000+140000+200+150000+5000+13000</f>
        <v>338200</v>
      </c>
      <c r="I129" s="14">
        <f>120000+25000+12000+80000+15000+50000+10000+10000+5000+854000+20000+4000+1500</f>
        <v>1206500</v>
      </c>
      <c r="J129" s="14">
        <f>225000+500000+230000+50000+170000</f>
        <v>1175000</v>
      </c>
      <c r="K129" s="14">
        <f>10000+25000+10000</f>
        <v>45000</v>
      </c>
      <c r="L129" s="67">
        <f>SUM(H129:K129)</f>
        <v>2764700</v>
      </c>
      <c r="M129" s="14">
        <f>L129+G129</f>
        <v>3690700</v>
      </c>
      <c r="N129" s="14">
        <v>60020454</v>
      </c>
      <c r="O129" s="14"/>
      <c r="P129" s="14"/>
      <c r="Q129" s="14"/>
      <c r="R129" s="14"/>
      <c r="S129" s="14"/>
      <c r="T129" s="14"/>
      <c r="U129" s="14">
        <v>5000</v>
      </c>
      <c r="V129" s="67">
        <f>SUM(N129:U129)</f>
        <v>60025454</v>
      </c>
      <c r="W129" s="14"/>
      <c r="X129" s="14"/>
      <c r="Y129" s="14"/>
      <c r="Z129" s="14">
        <f>SUM(W129:Y129)</f>
        <v>0</v>
      </c>
      <c r="AA129" s="14"/>
      <c r="AB129" s="14"/>
      <c r="AC129" s="14">
        <f>SUM(AA129:AB129)</f>
        <v>0</v>
      </c>
      <c r="AD129" s="14">
        <f>AC129+Z129</f>
        <v>0</v>
      </c>
      <c r="AE129" s="67">
        <f>AD129+V129+M129</f>
        <v>63716154</v>
      </c>
      <c r="AF129" s="14">
        <f>13760484.33+11364052.97+3225725.53+1842483.63+1207515.78+1450016.65+48000+850000</f>
        <v>33748278.890000001</v>
      </c>
      <c r="AG129" s="14">
        <f>1407894.25+1623289.83+2029751.58+6554090.8+13000+3185807.7</f>
        <v>14813834.16</v>
      </c>
      <c r="AH129" s="14">
        <f>7055067.25+1133657.95+1560313.71+4600000-4678063.15+100000+100000+5000+600002.04</f>
        <v>10475977.800000001</v>
      </c>
      <c r="AI129" s="14">
        <v>4678063.1500000004</v>
      </c>
      <c r="AJ129" s="14">
        <f>SUM(AF129:AI129)</f>
        <v>63716153.999999993</v>
      </c>
      <c r="AK129" s="14">
        <f>B129+AE129-AJ129</f>
        <v>8501104.1200000122</v>
      </c>
      <c r="AL129" s="21">
        <f>AJ129-63716154</f>
        <v>0</v>
      </c>
    </row>
    <row r="130" spans="1:38" x14ac:dyDescent="0.25">
      <c r="A130" s="13"/>
      <c r="B130" s="13"/>
      <c r="C130" s="14"/>
      <c r="D130" s="14"/>
      <c r="E130" s="14"/>
      <c r="F130" s="14"/>
      <c r="G130" s="67"/>
      <c r="H130" s="14"/>
      <c r="I130" s="14"/>
      <c r="J130" s="14"/>
      <c r="K130" s="14"/>
      <c r="L130" s="67"/>
      <c r="M130" s="14"/>
      <c r="N130" s="14"/>
      <c r="O130" s="14"/>
      <c r="P130" s="14"/>
      <c r="Q130" s="14"/>
      <c r="R130" s="14"/>
      <c r="S130" s="14"/>
      <c r="T130" s="14"/>
      <c r="U130" s="14"/>
      <c r="V130" s="67"/>
      <c r="W130" s="14"/>
      <c r="X130" s="14"/>
      <c r="Y130" s="14"/>
      <c r="Z130" s="14"/>
      <c r="AA130" s="14"/>
      <c r="AB130" s="14"/>
      <c r="AC130" s="14"/>
      <c r="AD130" s="14"/>
      <c r="AE130" s="67"/>
      <c r="AF130" s="14"/>
      <c r="AG130" s="14"/>
      <c r="AH130" s="14"/>
      <c r="AI130" s="14"/>
      <c r="AJ130" s="14"/>
      <c r="AK130" s="14"/>
    </row>
    <row r="131" spans="1:38" x14ac:dyDescent="0.25">
      <c r="A131" s="13" t="s">
        <v>259</v>
      </c>
      <c r="B131" s="14"/>
      <c r="C131" s="14"/>
      <c r="D131" s="14"/>
      <c r="E131" s="14"/>
      <c r="F131" s="14"/>
      <c r="G131" s="67">
        <f>SUM(C131:F131)</f>
        <v>0</v>
      </c>
      <c r="H131" s="14"/>
      <c r="I131" s="14"/>
      <c r="J131" s="14"/>
      <c r="K131" s="14"/>
      <c r="L131" s="67">
        <f>SUM(H131:K131)</f>
        <v>0</v>
      </c>
      <c r="M131" s="14">
        <f>L131+G131</f>
        <v>0</v>
      </c>
      <c r="N131" s="14"/>
      <c r="O131" s="14"/>
      <c r="P131" s="14"/>
      <c r="Q131" s="14"/>
      <c r="R131" s="14"/>
      <c r="S131" s="14"/>
      <c r="T131" s="14"/>
      <c r="U131" s="14"/>
      <c r="V131" s="67">
        <f>SUM(N131:U131)</f>
        <v>0</v>
      </c>
      <c r="W131" s="14"/>
      <c r="X131" s="14"/>
      <c r="Y131" s="14"/>
      <c r="Z131" s="14">
        <f>SUM(W131:Y131)</f>
        <v>0</v>
      </c>
      <c r="AA131" s="14"/>
      <c r="AB131" s="14"/>
      <c r="AC131" s="14">
        <f>SUM(AA131:AB131)</f>
        <v>0</v>
      </c>
      <c r="AD131" s="14">
        <f>AC131+Z131</f>
        <v>0</v>
      </c>
      <c r="AE131" s="67">
        <f>AD131+V131+M131</f>
        <v>0</v>
      </c>
      <c r="AF131" s="14">
        <f>AK194</f>
        <v>0</v>
      </c>
      <c r="AG131" s="14">
        <f>AK212</f>
        <v>0</v>
      </c>
      <c r="AH131" s="14">
        <f>AK195</f>
        <v>0</v>
      </c>
      <c r="AI131" s="14"/>
      <c r="AJ131" s="14">
        <f>SUM(AF131:AI131)</f>
        <v>0</v>
      </c>
      <c r="AK131" s="14">
        <f>B131+AE131-AJ131</f>
        <v>0</v>
      </c>
    </row>
    <row r="132" spans="1:38" x14ac:dyDescent="0.25">
      <c r="A132" s="13"/>
      <c r="B132" s="13"/>
      <c r="C132" s="14"/>
      <c r="D132" s="14"/>
      <c r="E132" s="14"/>
      <c r="F132" s="14"/>
      <c r="G132" s="67"/>
      <c r="H132" s="14"/>
      <c r="I132" s="14"/>
      <c r="J132" s="14"/>
      <c r="K132" s="14"/>
      <c r="L132" s="67"/>
      <c r="M132" s="14"/>
      <c r="N132" s="14"/>
      <c r="O132" s="14"/>
      <c r="P132" s="14"/>
      <c r="Q132" s="14"/>
      <c r="R132" s="14"/>
      <c r="S132" s="14"/>
      <c r="T132" s="14"/>
      <c r="U132" s="14"/>
      <c r="V132" s="67"/>
      <c r="W132" s="14"/>
      <c r="X132" s="14"/>
      <c r="Y132" s="14"/>
      <c r="Z132" s="14"/>
      <c r="AA132" s="14"/>
      <c r="AB132" s="14"/>
      <c r="AC132" s="14"/>
      <c r="AD132" s="14"/>
      <c r="AE132" s="67"/>
      <c r="AF132" s="14"/>
      <c r="AG132" s="14"/>
      <c r="AH132" s="14"/>
      <c r="AI132" s="14"/>
      <c r="AJ132" s="14"/>
      <c r="AK132" s="14"/>
    </row>
    <row r="133" spans="1:38" x14ac:dyDescent="0.25">
      <c r="A133" s="13" t="s">
        <v>258</v>
      </c>
      <c r="B133" s="68">
        <v>8.5</v>
      </c>
      <c r="C133" s="14">
        <v>0.24</v>
      </c>
      <c r="D133" s="14">
        <v>0</v>
      </c>
      <c r="E133" s="14"/>
      <c r="F133" s="14">
        <v>0.69</v>
      </c>
      <c r="G133" s="67">
        <f>SUM(C133:F133)</f>
        <v>0.92999999999999994</v>
      </c>
      <c r="H133" s="14">
        <v>0.33</v>
      </c>
      <c r="I133" s="14">
        <v>1.2</v>
      </c>
      <c r="J133" s="14">
        <v>1.2</v>
      </c>
      <c r="K133" s="14">
        <v>0.04</v>
      </c>
      <c r="L133" s="67">
        <f>SUM(H133:K133)</f>
        <v>2.77</v>
      </c>
      <c r="M133" s="14">
        <v>5.3</v>
      </c>
      <c r="N133" s="14">
        <v>53.15</v>
      </c>
      <c r="O133" s="14"/>
      <c r="P133" s="14"/>
      <c r="Q133" s="14"/>
      <c r="R133" s="14"/>
      <c r="S133" s="14">
        <v>14.2</v>
      </c>
      <c r="T133" s="14">
        <v>0.16</v>
      </c>
      <c r="U133" s="14"/>
      <c r="V133" s="67">
        <f>SUM(N133:U133)</f>
        <v>67.509999999999991</v>
      </c>
      <c r="W133" s="14"/>
      <c r="X133" s="14"/>
      <c r="Y133" s="14"/>
      <c r="Z133" s="14"/>
      <c r="AA133" s="14"/>
      <c r="AB133" s="14"/>
      <c r="AC133" s="14"/>
      <c r="AD133" s="14"/>
      <c r="AE133" s="67">
        <f>AD133+V133+M133</f>
        <v>72.809999999999988</v>
      </c>
      <c r="AF133" s="14">
        <v>33.75</v>
      </c>
      <c r="AG133" s="14">
        <v>14.81</v>
      </c>
      <c r="AH133" s="14">
        <v>10.47</v>
      </c>
      <c r="AI133" s="14">
        <v>4.68</v>
      </c>
      <c r="AJ133" s="14">
        <f>SUM(AF133:AI133)</f>
        <v>63.71</v>
      </c>
      <c r="AK133" s="14">
        <f>B133+AE133-AJ133</f>
        <v>17.599999999999987</v>
      </c>
    </row>
    <row r="134" spans="1:38" x14ac:dyDescent="0.25">
      <c r="A134" s="13"/>
      <c r="B134" s="13"/>
      <c r="C134" s="14"/>
      <c r="D134" s="14"/>
      <c r="E134" s="14"/>
      <c r="F134" s="14"/>
      <c r="G134" s="67"/>
      <c r="H134" s="14"/>
      <c r="I134" s="14"/>
      <c r="J134" s="14"/>
      <c r="K134" s="14"/>
      <c r="L134" s="67"/>
      <c r="M134" s="14"/>
      <c r="N134" s="14"/>
      <c r="O134" s="14"/>
      <c r="P134" s="14"/>
      <c r="Q134" s="14"/>
      <c r="R134" s="14"/>
      <c r="S134" s="14"/>
      <c r="T134" s="14"/>
      <c r="U134" s="14"/>
      <c r="V134" s="67"/>
      <c r="W134" s="14"/>
      <c r="X134" s="14"/>
      <c r="Y134" s="14"/>
      <c r="Z134" s="14"/>
      <c r="AA134" s="14"/>
      <c r="AB134" s="14"/>
      <c r="AC134" s="14"/>
      <c r="AD134" s="14"/>
      <c r="AE134" s="67"/>
      <c r="AF134" s="14"/>
      <c r="AG134" s="14"/>
      <c r="AH134" s="14"/>
      <c r="AI134" s="14"/>
      <c r="AJ134" s="14"/>
      <c r="AK134" s="14"/>
    </row>
    <row r="135" spans="1:38" x14ac:dyDescent="0.25">
      <c r="A135" s="13"/>
      <c r="B135" s="13"/>
      <c r="C135" s="14"/>
      <c r="D135" s="14"/>
      <c r="E135" s="14"/>
      <c r="F135" s="14"/>
      <c r="G135" s="67"/>
      <c r="H135" s="14"/>
      <c r="I135" s="14"/>
      <c r="J135" s="14"/>
      <c r="K135" s="14"/>
      <c r="L135" s="67"/>
      <c r="M135" s="14"/>
      <c r="N135" s="14"/>
      <c r="O135" s="14"/>
      <c r="P135" s="14"/>
      <c r="Q135" s="14"/>
      <c r="R135" s="14"/>
      <c r="S135" s="14"/>
      <c r="T135" s="14"/>
      <c r="U135" s="14"/>
      <c r="V135" s="67"/>
      <c r="W135" s="14"/>
      <c r="X135" s="14"/>
      <c r="Y135" s="14"/>
      <c r="Z135" s="14"/>
      <c r="AA135" s="14"/>
      <c r="AB135" s="14"/>
      <c r="AC135" s="14"/>
      <c r="AD135" s="14"/>
      <c r="AE135" s="67"/>
      <c r="AF135" s="14"/>
      <c r="AG135" s="14"/>
      <c r="AH135" s="14"/>
      <c r="AI135" s="14"/>
      <c r="AJ135" s="14"/>
      <c r="AK135" s="14"/>
    </row>
    <row r="136" spans="1:38" x14ac:dyDescent="0.25">
      <c r="A136" s="13"/>
      <c r="B136" s="13"/>
      <c r="C136" s="14"/>
      <c r="D136" s="14"/>
      <c r="E136" s="14"/>
      <c r="F136" s="14"/>
      <c r="G136" s="67"/>
      <c r="H136" s="14"/>
      <c r="I136" s="14"/>
      <c r="J136" s="14"/>
      <c r="K136" s="14"/>
      <c r="L136" s="67"/>
      <c r="M136" s="14"/>
      <c r="N136" s="14"/>
      <c r="O136" s="14"/>
      <c r="P136" s="14"/>
      <c r="Q136" s="14"/>
      <c r="R136" s="14"/>
      <c r="S136" s="14"/>
      <c r="T136" s="14"/>
      <c r="U136" s="14"/>
      <c r="V136" s="67"/>
      <c r="W136" s="14"/>
      <c r="X136" s="14"/>
      <c r="Y136" s="14"/>
      <c r="Z136" s="14"/>
      <c r="AA136" s="14"/>
      <c r="AB136" s="14"/>
      <c r="AC136" s="14"/>
      <c r="AD136" s="14"/>
      <c r="AE136" s="67"/>
      <c r="AF136" s="14"/>
      <c r="AG136" s="14"/>
      <c r="AH136" s="14"/>
      <c r="AI136" s="14"/>
      <c r="AJ136" s="14"/>
      <c r="AK136" s="14"/>
    </row>
    <row r="138" spans="1:38" hidden="1" x14ac:dyDescent="0.25">
      <c r="AF138">
        <v>850000</v>
      </c>
      <c r="AG138">
        <f>500000+500000+4678063.15+79082+150000+146945.65+500000</f>
        <v>6554090.8000000007</v>
      </c>
      <c r="AH138">
        <f>650000+600000+500000+350000+100000+930000+70000+500000+400000+500000</f>
        <v>4600000</v>
      </c>
      <c r="AI138">
        <f>SUM(AF138:AH138)</f>
        <v>12004090.800000001</v>
      </c>
    </row>
  </sheetData>
  <mergeCells count="22">
    <mergeCell ref="C1:AE1"/>
    <mergeCell ref="C2:M2"/>
    <mergeCell ref="N2:V2"/>
    <mergeCell ref="W2:AD2"/>
    <mergeCell ref="W3:Z3"/>
    <mergeCell ref="AA3:AC3"/>
    <mergeCell ref="C121:AE121"/>
    <mergeCell ref="AF121:AJ121"/>
    <mergeCell ref="C122:M122"/>
    <mergeCell ref="N122:V122"/>
    <mergeCell ref="W122:AD122"/>
    <mergeCell ref="AF1:AJ1"/>
    <mergeCell ref="P3:S3"/>
    <mergeCell ref="C3:G3"/>
    <mergeCell ref="H3:L3"/>
    <mergeCell ref="C4:D4"/>
    <mergeCell ref="C124:D124"/>
    <mergeCell ref="C123:G123"/>
    <mergeCell ref="H123:L123"/>
    <mergeCell ref="P123:S123"/>
    <mergeCell ref="W123:Z123"/>
    <mergeCell ref="AA123:AC123"/>
  </mergeCell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8"/>
  <sheetViews>
    <sheetView workbookViewId="0">
      <selection sqref="A1:AK68"/>
    </sheetView>
  </sheetViews>
  <sheetFormatPr defaultRowHeight="15" x14ac:dyDescent="0.25"/>
  <sheetData>
    <row r="1" spans="1:37" ht="15.75" thickBot="1" x14ac:dyDescent="0.3">
      <c r="A1" s="1"/>
      <c r="B1" s="1"/>
      <c r="C1" s="342" t="s">
        <v>0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  <c r="AB1" s="344"/>
      <c r="AC1" s="344"/>
      <c r="AD1" s="344"/>
      <c r="AE1" s="343"/>
      <c r="AF1" s="342" t="s">
        <v>6</v>
      </c>
      <c r="AG1" s="344"/>
      <c r="AH1" s="344"/>
      <c r="AI1" s="344"/>
      <c r="AJ1" s="344"/>
      <c r="AK1" s="1"/>
    </row>
    <row r="2" spans="1:37" ht="15.75" thickBot="1" x14ac:dyDescent="0.3">
      <c r="A2" s="2"/>
      <c r="B2" s="8" t="s">
        <v>78</v>
      </c>
      <c r="C2" s="342" t="s">
        <v>1</v>
      </c>
      <c r="D2" s="344"/>
      <c r="E2" s="344"/>
      <c r="F2" s="344"/>
      <c r="G2" s="344"/>
      <c r="H2" s="344"/>
      <c r="I2" s="344"/>
      <c r="J2" s="344"/>
      <c r="K2" s="344"/>
      <c r="L2" s="344"/>
      <c r="M2" s="343"/>
      <c r="N2" s="342" t="s">
        <v>2</v>
      </c>
      <c r="O2" s="344"/>
      <c r="P2" s="345"/>
      <c r="Q2" s="345"/>
      <c r="R2" s="345"/>
      <c r="S2" s="345"/>
      <c r="T2" s="345"/>
      <c r="U2" s="345"/>
      <c r="V2" s="346"/>
      <c r="W2" s="342" t="s">
        <v>3</v>
      </c>
      <c r="X2" s="344"/>
      <c r="Y2" s="344"/>
      <c r="Z2" s="344"/>
      <c r="AA2" s="344"/>
      <c r="AB2" s="344"/>
      <c r="AC2" s="344"/>
      <c r="AD2" s="343"/>
      <c r="AE2" s="9"/>
      <c r="AF2" s="9"/>
      <c r="AG2" s="9"/>
      <c r="AH2" s="9"/>
      <c r="AI2" s="9"/>
      <c r="AJ2" s="9"/>
      <c r="AK2" s="2"/>
    </row>
    <row r="3" spans="1:37" ht="15.75" thickBot="1" x14ac:dyDescent="0.3">
      <c r="A3" s="2"/>
      <c r="B3" s="8" t="s">
        <v>79</v>
      </c>
      <c r="C3" s="342" t="s">
        <v>60</v>
      </c>
      <c r="D3" s="344"/>
      <c r="E3" s="344"/>
      <c r="F3" s="344"/>
      <c r="G3" s="343"/>
      <c r="H3" s="342" t="s">
        <v>59</v>
      </c>
      <c r="I3" s="344"/>
      <c r="J3" s="344"/>
      <c r="K3" s="344"/>
      <c r="L3" s="344"/>
      <c r="M3" s="1"/>
      <c r="N3" s="1"/>
      <c r="O3" s="1" t="s">
        <v>41</v>
      </c>
      <c r="P3" s="342" t="s">
        <v>33</v>
      </c>
      <c r="Q3" s="344"/>
      <c r="R3" s="344"/>
      <c r="S3" s="343"/>
      <c r="T3" s="7"/>
      <c r="U3" s="7" t="s">
        <v>52</v>
      </c>
      <c r="V3" s="7"/>
      <c r="W3" s="344" t="s">
        <v>4</v>
      </c>
      <c r="X3" s="344"/>
      <c r="Y3" s="344"/>
      <c r="Z3" s="343"/>
      <c r="AA3" s="342" t="s">
        <v>5</v>
      </c>
      <c r="AB3" s="344"/>
      <c r="AC3" s="344"/>
      <c r="AD3" s="1"/>
      <c r="AE3" s="8"/>
      <c r="AF3" s="8"/>
      <c r="AG3" s="8"/>
      <c r="AH3" s="8"/>
      <c r="AI3" s="8"/>
      <c r="AJ3" s="8"/>
      <c r="AK3" s="8" t="s">
        <v>88</v>
      </c>
    </row>
    <row r="4" spans="1:37" ht="15.75" thickBot="1" x14ac:dyDescent="0.3">
      <c r="A4" s="8" t="s">
        <v>81</v>
      </c>
      <c r="B4" s="8" t="s">
        <v>80</v>
      </c>
      <c r="C4" s="347" t="s">
        <v>61</v>
      </c>
      <c r="D4" s="348"/>
      <c r="E4" s="1"/>
      <c r="F4" s="1"/>
      <c r="G4" s="1"/>
      <c r="H4" s="1"/>
      <c r="I4" s="1"/>
      <c r="J4" s="1" t="s">
        <v>20</v>
      </c>
      <c r="K4" s="1"/>
      <c r="L4" s="1"/>
      <c r="M4" s="2" t="s">
        <v>56</v>
      </c>
      <c r="N4" s="2" t="s">
        <v>46</v>
      </c>
      <c r="O4" s="2" t="s">
        <v>37</v>
      </c>
      <c r="P4" s="1"/>
      <c r="Q4" s="1"/>
      <c r="R4" s="4" t="s">
        <v>36</v>
      </c>
      <c r="S4" s="4" t="s">
        <v>36</v>
      </c>
      <c r="T4" s="5" t="s">
        <v>50</v>
      </c>
      <c r="U4" s="5" t="s">
        <v>53</v>
      </c>
      <c r="V4" s="5" t="s">
        <v>56</v>
      </c>
      <c r="W4" s="3" t="s">
        <v>7</v>
      </c>
      <c r="X4" s="1" t="s">
        <v>14</v>
      </c>
      <c r="Y4" s="1" t="s">
        <v>15</v>
      </c>
      <c r="Z4" s="1" t="s">
        <v>18</v>
      </c>
      <c r="AA4" s="1"/>
      <c r="AB4" s="1"/>
      <c r="AC4" s="1" t="s">
        <v>27</v>
      </c>
      <c r="AD4" s="2" t="s">
        <v>30</v>
      </c>
      <c r="AE4" s="10" t="s">
        <v>56</v>
      </c>
      <c r="AF4" s="10" t="s">
        <v>82</v>
      </c>
      <c r="AG4" s="10" t="s">
        <v>84</v>
      </c>
      <c r="AH4" s="10" t="s">
        <v>85</v>
      </c>
      <c r="AI4" s="10" t="s">
        <v>86</v>
      </c>
      <c r="AJ4" s="10" t="s">
        <v>56</v>
      </c>
      <c r="AK4" s="8" t="s">
        <v>80</v>
      </c>
    </row>
    <row r="5" spans="1:37" x14ac:dyDescent="0.25">
      <c r="A5" s="2"/>
      <c r="B5" s="2"/>
      <c r="C5" s="1"/>
      <c r="D5" s="1" t="s">
        <v>76</v>
      </c>
      <c r="E5" s="2" t="s">
        <v>62</v>
      </c>
      <c r="F5" s="2" t="s">
        <v>63</v>
      </c>
      <c r="G5" s="2" t="s">
        <v>25</v>
      </c>
      <c r="H5" s="2" t="s">
        <v>65</v>
      </c>
      <c r="I5" s="2" t="s">
        <v>67</v>
      </c>
      <c r="J5" s="2" t="s">
        <v>8</v>
      </c>
      <c r="K5" s="2" t="s">
        <v>63</v>
      </c>
      <c r="L5" s="2" t="s">
        <v>25</v>
      </c>
      <c r="M5" s="2" t="s">
        <v>73</v>
      </c>
      <c r="N5" s="2" t="s">
        <v>47</v>
      </c>
      <c r="O5" s="2" t="s">
        <v>43</v>
      </c>
      <c r="P5" s="2" t="s">
        <v>36</v>
      </c>
      <c r="Q5" s="2" t="s">
        <v>41</v>
      </c>
      <c r="R5" s="5" t="s">
        <v>37</v>
      </c>
      <c r="S5" s="5" t="s">
        <v>8</v>
      </c>
      <c r="T5" s="5" t="s">
        <v>51</v>
      </c>
      <c r="U5" s="5" t="s">
        <v>54</v>
      </c>
      <c r="V5" s="5" t="s">
        <v>57</v>
      </c>
      <c r="W5" s="6" t="s">
        <v>8</v>
      </c>
      <c r="X5" s="2" t="s">
        <v>11</v>
      </c>
      <c r="Y5" s="2" t="s">
        <v>16</v>
      </c>
      <c r="Z5" s="2" t="s">
        <v>19</v>
      </c>
      <c r="AA5" s="2" t="s">
        <v>21</v>
      </c>
      <c r="AB5" s="2" t="s">
        <v>23</v>
      </c>
      <c r="AC5" s="2" t="s">
        <v>26</v>
      </c>
      <c r="AD5" s="2" t="s">
        <v>31</v>
      </c>
      <c r="AE5" s="10" t="s">
        <v>32</v>
      </c>
      <c r="AF5" s="10" t="s">
        <v>83</v>
      </c>
      <c r="AG5" s="10" t="s">
        <v>83</v>
      </c>
      <c r="AH5" s="10" t="s">
        <v>83</v>
      </c>
      <c r="AI5" s="10" t="s">
        <v>83</v>
      </c>
      <c r="AJ5" s="10" t="s">
        <v>87</v>
      </c>
      <c r="AK5" s="2"/>
    </row>
    <row r="6" spans="1:37" x14ac:dyDescent="0.25">
      <c r="A6" s="2"/>
      <c r="B6" s="2"/>
      <c r="C6" s="2" t="s">
        <v>74</v>
      </c>
      <c r="D6" s="2" t="s">
        <v>77</v>
      </c>
      <c r="E6" s="2" t="s">
        <v>35</v>
      </c>
      <c r="F6" s="2" t="s">
        <v>64</v>
      </c>
      <c r="G6" s="2" t="s">
        <v>35</v>
      </c>
      <c r="H6" s="2" t="s">
        <v>66</v>
      </c>
      <c r="I6" s="2" t="s">
        <v>68</v>
      </c>
      <c r="J6" s="2" t="s">
        <v>70</v>
      </c>
      <c r="K6" s="2" t="s">
        <v>20</v>
      </c>
      <c r="L6" s="2" t="s">
        <v>72</v>
      </c>
      <c r="M6" s="2" t="s">
        <v>58</v>
      </c>
      <c r="N6" s="2" t="s">
        <v>48</v>
      </c>
      <c r="O6" s="2" t="s">
        <v>44</v>
      </c>
      <c r="P6" s="2" t="s">
        <v>37</v>
      </c>
      <c r="Q6" s="2" t="s">
        <v>37</v>
      </c>
      <c r="R6" s="5" t="s">
        <v>38</v>
      </c>
      <c r="S6" s="5" t="s">
        <v>34</v>
      </c>
      <c r="T6" s="5"/>
      <c r="U6" s="5" t="s">
        <v>55</v>
      </c>
      <c r="V6" s="5" t="s">
        <v>58</v>
      </c>
      <c r="W6" s="6" t="s">
        <v>9</v>
      </c>
      <c r="X6" s="2" t="s">
        <v>12</v>
      </c>
      <c r="Y6" s="2" t="s">
        <v>17</v>
      </c>
      <c r="Z6" s="2" t="s">
        <v>20</v>
      </c>
      <c r="AA6" s="2" t="s">
        <v>22</v>
      </c>
      <c r="AB6" s="2" t="s">
        <v>24</v>
      </c>
      <c r="AC6" s="2" t="s">
        <v>28</v>
      </c>
      <c r="AD6" s="2" t="s">
        <v>32</v>
      </c>
      <c r="AE6" s="5"/>
      <c r="AF6" s="8"/>
      <c r="AG6" s="8"/>
      <c r="AH6" s="8"/>
      <c r="AI6" s="8"/>
      <c r="AJ6" s="8"/>
      <c r="AK6" s="2"/>
    </row>
    <row r="7" spans="1:37" x14ac:dyDescent="0.25">
      <c r="A7" s="2"/>
      <c r="B7" s="2"/>
      <c r="C7" s="2" t="s">
        <v>75</v>
      </c>
      <c r="D7" s="2" t="s">
        <v>35</v>
      </c>
      <c r="E7" s="2"/>
      <c r="F7" s="2"/>
      <c r="G7" s="2" t="s">
        <v>47</v>
      </c>
      <c r="H7" s="2"/>
      <c r="I7" s="2" t="s">
        <v>69</v>
      </c>
      <c r="J7" s="2" t="s">
        <v>71</v>
      </c>
      <c r="K7" s="2"/>
      <c r="L7" s="2" t="s">
        <v>47</v>
      </c>
      <c r="M7" s="2"/>
      <c r="N7" s="2"/>
      <c r="O7" s="2" t="s">
        <v>45</v>
      </c>
      <c r="P7" s="2" t="s">
        <v>42</v>
      </c>
      <c r="Q7" s="2" t="s">
        <v>40</v>
      </c>
      <c r="R7" s="5" t="s">
        <v>39</v>
      </c>
      <c r="S7" s="5" t="s">
        <v>49</v>
      </c>
      <c r="T7" s="5"/>
      <c r="U7" s="5"/>
      <c r="V7" s="5"/>
      <c r="W7" s="6" t="s">
        <v>10</v>
      </c>
      <c r="X7" s="2" t="s">
        <v>13</v>
      </c>
      <c r="Y7" s="2"/>
      <c r="Z7" s="2"/>
      <c r="AA7" s="2"/>
      <c r="AB7" s="2"/>
      <c r="AC7" s="2" t="s">
        <v>29</v>
      </c>
      <c r="AD7" s="2"/>
      <c r="AE7" s="5"/>
      <c r="AF7" s="8"/>
      <c r="AG7" s="8"/>
      <c r="AH7" s="8"/>
      <c r="AI7" s="8"/>
      <c r="AJ7" s="8"/>
      <c r="AK7" s="2"/>
    </row>
    <row r="8" spans="1:37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</row>
    <row r="10" spans="1:37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</row>
    <row r="11" spans="1:37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</row>
    <row r="12" spans="1:37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37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</row>
    <row r="17" spans="1:37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</row>
    <row r="18" spans="1:37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1:37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1:37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</row>
    <row r="21" spans="1:37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</row>
    <row r="22" spans="1:37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</row>
    <row r="23" spans="1:37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</row>
    <row r="24" spans="1:37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</row>
    <row r="25" spans="1:37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</row>
    <row r="26" spans="1:37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</row>
    <row r="27" spans="1:37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</row>
    <row r="28" spans="1:37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</row>
    <row r="29" spans="1:37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</row>
    <row r="30" spans="1:37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</row>
    <row r="31" spans="1:37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</row>
    <row r="32" spans="1:37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</row>
    <row r="33" spans="1:37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</row>
    <row r="34" spans="1:37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</row>
    <row r="35" spans="1:37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</row>
    <row r="36" spans="1:37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</row>
    <row r="37" spans="1:37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</row>
    <row r="38" spans="1:37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</row>
    <row r="39" spans="1:37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</row>
    <row r="40" spans="1:37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</row>
    <row r="41" spans="1:37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</row>
    <row r="42" spans="1:37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</row>
    <row r="43" spans="1:37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</row>
    <row r="44" spans="1:37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</row>
    <row r="45" spans="1:37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</row>
    <row r="46" spans="1:37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</row>
    <row r="47" spans="1:37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</row>
    <row r="48" spans="1:37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</row>
    <row r="49" spans="1:37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</row>
    <row r="50" spans="1:37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</row>
    <row r="51" spans="1:37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</row>
    <row r="52" spans="1:37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</row>
    <row r="53" spans="1:37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</row>
    <row r="54" spans="1:37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</row>
    <row r="55" spans="1:37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</row>
    <row r="56" spans="1:37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</row>
    <row r="57" spans="1:37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</row>
    <row r="58" spans="1:37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</row>
    <row r="59" spans="1:37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</row>
    <row r="60" spans="1:37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</row>
    <row r="61" spans="1:37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</row>
    <row r="62" spans="1:37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</row>
    <row r="63" spans="1:37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</row>
    <row r="64" spans="1:37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</row>
    <row r="65" spans="1:37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</row>
    <row r="66" spans="1:37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</row>
    <row r="67" spans="1:37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</row>
    <row r="68" spans="1:37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</row>
  </sheetData>
  <mergeCells count="11">
    <mergeCell ref="AF1:AJ1"/>
    <mergeCell ref="C2:M2"/>
    <mergeCell ref="N2:V2"/>
    <mergeCell ref="W2:AD2"/>
    <mergeCell ref="C3:G3"/>
    <mergeCell ref="H3:L3"/>
    <mergeCell ref="P3:S3"/>
    <mergeCell ref="W3:Z3"/>
    <mergeCell ref="AA3:AC3"/>
    <mergeCell ref="C4:D4"/>
    <mergeCell ref="C1:A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4"/>
  <sheetViews>
    <sheetView topLeftCell="A76" workbookViewId="0">
      <selection activeCell="C95" sqref="C95"/>
    </sheetView>
  </sheetViews>
  <sheetFormatPr defaultRowHeight="15" x14ac:dyDescent="0.25"/>
  <cols>
    <col min="1" max="1" width="43.140625" customWidth="1"/>
    <col min="3" max="4" width="13.28515625" customWidth="1"/>
    <col min="5" max="5" width="11.5703125" customWidth="1"/>
    <col min="6" max="6" width="11.7109375" customWidth="1"/>
    <col min="7" max="8" width="11.5703125" customWidth="1"/>
    <col min="9" max="9" width="13.5703125" customWidth="1"/>
    <col min="10" max="10" width="11.42578125" customWidth="1"/>
    <col min="11" max="11" width="11.140625" customWidth="1"/>
    <col min="12" max="12" width="13.28515625" customWidth="1"/>
    <col min="13" max="15" width="11.5703125" customWidth="1"/>
    <col min="16" max="16" width="17.42578125" customWidth="1"/>
  </cols>
  <sheetData>
    <row r="1" spans="1:16" x14ac:dyDescent="0.25">
      <c r="A1" t="s">
        <v>287</v>
      </c>
    </row>
    <row r="2" spans="1:16" x14ac:dyDescent="0.25">
      <c r="A2" s="69" t="s">
        <v>136</v>
      </c>
      <c r="B2" s="13"/>
      <c r="C2" s="13">
        <v>1011</v>
      </c>
      <c r="D2" s="13">
        <v>1021</v>
      </c>
      <c r="E2" s="13">
        <v>1041</v>
      </c>
      <c r="F2" s="13">
        <v>1051</v>
      </c>
      <c r="G2" s="13">
        <v>1071</v>
      </c>
      <c r="H2" s="13">
        <v>1081</v>
      </c>
      <c r="I2" s="13">
        <v>1091</v>
      </c>
      <c r="J2" s="13">
        <v>1101</v>
      </c>
      <c r="K2" s="13">
        <v>1111</v>
      </c>
      <c r="L2" s="13">
        <v>4411</v>
      </c>
      <c r="M2" s="13">
        <v>7611</v>
      </c>
      <c r="N2" s="13">
        <v>8711</v>
      </c>
      <c r="O2" s="13">
        <v>8751</v>
      </c>
      <c r="P2" s="13"/>
    </row>
    <row r="3" spans="1:16" x14ac:dyDescent="0.25">
      <c r="A3" s="59" t="s">
        <v>137</v>
      </c>
      <c r="B3" s="70">
        <v>701</v>
      </c>
      <c r="C3" s="14">
        <v>1334289</v>
      </c>
      <c r="D3" s="14">
        <v>2655606</v>
      </c>
      <c r="E3" s="14">
        <v>300420</v>
      </c>
      <c r="F3" s="14">
        <v>285066</v>
      </c>
      <c r="G3" s="14">
        <v>310236</v>
      </c>
      <c r="H3" s="14">
        <v>463360.9</v>
      </c>
      <c r="I3" s="14">
        <v>837771</v>
      </c>
      <c r="J3" s="14">
        <v>436734</v>
      </c>
      <c r="K3" s="14">
        <v>0</v>
      </c>
      <c r="L3" s="14">
        <v>1725195</v>
      </c>
      <c r="M3" s="14">
        <v>355140</v>
      </c>
      <c r="N3" s="14">
        <v>560568</v>
      </c>
      <c r="O3" s="14">
        <v>372870</v>
      </c>
      <c r="P3" s="14">
        <f>SUM(C3:O3)</f>
        <v>9637255.9000000004</v>
      </c>
    </row>
    <row r="4" spans="1:16" x14ac:dyDescent="0.25">
      <c r="A4" s="59" t="s">
        <v>250</v>
      </c>
      <c r="B4" s="70">
        <v>707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>
        <f t="shared" ref="P4:P21" si="0">SUM(C4:O4)</f>
        <v>0</v>
      </c>
    </row>
    <row r="5" spans="1:16" x14ac:dyDescent="0.25">
      <c r="A5" s="59" t="s">
        <v>138</v>
      </c>
      <c r="B5" s="70">
        <v>711</v>
      </c>
      <c r="C5" s="14">
        <v>216000</v>
      </c>
      <c r="D5" s="14">
        <v>156000</v>
      </c>
      <c r="E5" s="14">
        <v>24000</v>
      </c>
      <c r="F5" s="14">
        <v>24000</v>
      </c>
      <c r="G5" s="14">
        <v>24000</v>
      </c>
      <c r="H5" s="14">
        <v>46181.82</v>
      </c>
      <c r="I5" s="14">
        <v>108000</v>
      </c>
      <c r="J5" s="14">
        <v>48000</v>
      </c>
      <c r="K5" s="14"/>
      <c r="L5" s="14">
        <v>156000</v>
      </c>
      <c r="M5" s="14">
        <v>36000</v>
      </c>
      <c r="N5" s="14">
        <v>60000</v>
      </c>
      <c r="O5" s="14">
        <v>36000</v>
      </c>
      <c r="P5" s="14">
        <f t="shared" si="0"/>
        <v>934181.82000000007</v>
      </c>
    </row>
    <row r="6" spans="1:16" x14ac:dyDescent="0.25">
      <c r="A6" s="59" t="s">
        <v>139</v>
      </c>
      <c r="B6" s="70">
        <v>713</v>
      </c>
      <c r="C6" s="14">
        <v>40500</v>
      </c>
      <c r="D6" s="14">
        <v>375750</v>
      </c>
      <c r="E6" s="14">
        <v>33750</v>
      </c>
      <c r="F6" s="14">
        <v>33750</v>
      </c>
      <c r="G6" s="14">
        <v>33750</v>
      </c>
      <c r="H6" s="14">
        <v>33750</v>
      </c>
      <c r="I6" s="14">
        <v>56250</v>
      </c>
      <c r="J6" s="14">
        <v>33750</v>
      </c>
      <c r="K6" s="14"/>
      <c r="L6" s="14">
        <v>33750</v>
      </c>
      <c r="M6" s="14">
        <v>33750</v>
      </c>
      <c r="N6" s="14">
        <v>33750</v>
      </c>
      <c r="O6" s="14">
        <v>33750</v>
      </c>
      <c r="P6" s="14">
        <f t="shared" si="0"/>
        <v>776250</v>
      </c>
    </row>
    <row r="7" spans="1:16" x14ac:dyDescent="0.25">
      <c r="A7" s="59" t="s">
        <v>140</v>
      </c>
      <c r="B7" s="70">
        <v>714</v>
      </c>
      <c r="C7" s="14">
        <v>40500</v>
      </c>
      <c r="D7" s="14">
        <v>375750</v>
      </c>
      <c r="E7" s="14">
        <v>33750</v>
      </c>
      <c r="F7" s="14">
        <v>33750</v>
      </c>
      <c r="G7" s="14">
        <v>33750</v>
      </c>
      <c r="H7" s="14">
        <v>33750</v>
      </c>
      <c r="I7" s="14">
        <v>56250</v>
      </c>
      <c r="J7" s="14">
        <v>33750</v>
      </c>
      <c r="K7" s="14"/>
      <c r="L7" s="14">
        <v>33750</v>
      </c>
      <c r="M7" s="14">
        <v>33750</v>
      </c>
      <c r="N7" s="14">
        <v>33750</v>
      </c>
      <c r="O7" s="14">
        <v>33750</v>
      </c>
      <c r="P7" s="14">
        <f t="shared" si="0"/>
        <v>776250</v>
      </c>
    </row>
    <row r="8" spans="1:16" x14ac:dyDescent="0.25">
      <c r="A8" s="59" t="s">
        <v>141</v>
      </c>
      <c r="B8" s="70">
        <v>715</v>
      </c>
      <c r="C8" s="14">
        <v>90000</v>
      </c>
      <c r="D8" s="14">
        <v>65000</v>
      </c>
      <c r="E8" s="14">
        <v>10000</v>
      </c>
      <c r="F8" s="14">
        <v>10000</v>
      </c>
      <c r="G8" s="14">
        <v>10000</v>
      </c>
      <c r="H8" s="14">
        <v>20000</v>
      </c>
      <c r="I8" s="14">
        <v>45000</v>
      </c>
      <c r="J8" s="14">
        <v>20000</v>
      </c>
      <c r="K8" s="14"/>
      <c r="L8" s="14">
        <v>65000</v>
      </c>
      <c r="M8" s="14">
        <v>15000</v>
      </c>
      <c r="N8" s="14">
        <v>25000</v>
      </c>
      <c r="O8" s="14">
        <v>15000</v>
      </c>
      <c r="P8" s="14">
        <f t="shared" si="0"/>
        <v>390000</v>
      </c>
    </row>
    <row r="9" spans="1:16" x14ac:dyDescent="0.25">
      <c r="A9" s="59" t="s">
        <v>142</v>
      </c>
      <c r="B9" s="70">
        <v>716</v>
      </c>
      <c r="C9" s="14">
        <f>7200+900</f>
        <v>8100</v>
      </c>
      <c r="D9" s="14"/>
      <c r="E9" s="14"/>
      <c r="F9" s="14"/>
      <c r="G9" s="14"/>
      <c r="H9" s="14"/>
      <c r="I9" s="14"/>
      <c r="J9" s="14"/>
      <c r="K9" s="14"/>
      <c r="L9" s="14">
        <f>91320+11700</f>
        <v>103020</v>
      </c>
      <c r="M9" s="14">
        <v>6240</v>
      </c>
      <c r="N9" s="14"/>
      <c r="O9" s="14"/>
      <c r="P9" s="14">
        <f t="shared" si="0"/>
        <v>117360</v>
      </c>
    </row>
    <row r="10" spans="1:16" x14ac:dyDescent="0.25">
      <c r="A10" s="59" t="s">
        <v>143</v>
      </c>
      <c r="B10" s="70">
        <v>717</v>
      </c>
      <c r="C10" s="14">
        <v>34000</v>
      </c>
      <c r="D10" s="14">
        <v>6000</v>
      </c>
      <c r="E10" s="14">
        <v>4000</v>
      </c>
      <c r="F10" s="14">
        <v>4000</v>
      </c>
      <c r="G10" s="14">
        <v>4000</v>
      </c>
      <c r="H10" s="14">
        <v>8000</v>
      </c>
      <c r="I10" s="14">
        <v>18000</v>
      </c>
      <c r="J10" s="14">
        <v>8000</v>
      </c>
      <c r="K10" s="14"/>
      <c r="L10" s="14">
        <v>26000</v>
      </c>
      <c r="M10" s="14">
        <v>6000</v>
      </c>
      <c r="N10" s="14">
        <v>10000</v>
      </c>
      <c r="O10" s="14">
        <v>6000</v>
      </c>
      <c r="P10" s="14">
        <f t="shared" si="0"/>
        <v>134000</v>
      </c>
    </row>
    <row r="11" spans="1:16" x14ac:dyDescent="0.25">
      <c r="A11" s="59" t="s">
        <v>251</v>
      </c>
      <c r="B11" s="70">
        <v>720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>
        <f t="shared" si="0"/>
        <v>0</v>
      </c>
    </row>
    <row r="12" spans="1:16" x14ac:dyDescent="0.25">
      <c r="A12" s="59" t="s">
        <v>144</v>
      </c>
      <c r="B12" s="70">
        <v>721</v>
      </c>
      <c r="C12" s="14">
        <v>17880</v>
      </c>
      <c r="D12" s="14"/>
      <c r="E12" s="14"/>
      <c r="F12" s="14"/>
      <c r="G12" s="14"/>
      <c r="H12" s="14"/>
      <c r="I12" s="14"/>
      <c r="J12" s="14"/>
      <c r="K12" s="14"/>
      <c r="L12" s="14">
        <v>204156</v>
      </c>
      <c r="M12" s="14"/>
      <c r="N12" s="14"/>
      <c r="O12" s="14"/>
      <c r="P12" s="14">
        <f t="shared" si="0"/>
        <v>222036</v>
      </c>
    </row>
    <row r="13" spans="1:16" x14ac:dyDescent="0.25">
      <c r="A13" s="59" t="s">
        <v>145</v>
      </c>
      <c r="B13" s="70">
        <v>722</v>
      </c>
      <c r="C13" s="14"/>
      <c r="D13" s="14"/>
      <c r="E13" s="14">
        <v>5000</v>
      </c>
      <c r="F13" s="14"/>
      <c r="G13" s="14">
        <v>5000</v>
      </c>
      <c r="H13" s="14"/>
      <c r="I13" s="14">
        <v>5000</v>
      </c>
      <c r="J13" s="14"/>
      <c r="K13" s="14"/>
      <c r="L13" s="14"/>
      <c r="M13" s="14">
        <v>5000</v>
      </c>
      <c r="N13" s="14">
        <v>5000</v>
      </c>
      <c r="O13" s="14"/>
      <c r="P13" s="14">
        <f t="shared" si="0"/>
        <v>25000</v>
      </c>
    </row>
    <row r="14" spans="1:16" x14ac:dyDescent="0.25">
      <c r="A14" s="59" t="s">
        <v>146</v>
      </c>
      <c r="B14" s="70">
        <v>724</v>
      </c>
      <c r="C14" s="14">
        <v>45000</v>
      </c>
      <c r="D14" s="14">
        <v>32500</v>
      </c>
      <c r="E14" s="14">
        <v>5000</v>
      </c>
      <c r="F14" s="14">
        <v>5000</v>
      </c>
      <c r="G14" s="14">
        <v>5000</v>
      </c>
      <c r="H14" s="14">
        <v>10000</v>
      </c>
      <c r="I14" s="14">
        <v>22500</v>
      </c>
      <c r="J14" s="14">
        <v>10000</v>
      </c>
      <c r="K14" s="14"/>
      <c r="L14" s="14">
        <v>32500</v>
      </c>
      <c r="M14" s="14">
        <v>7500</v>
      </c>
      <c r="N14" s="14">
        <v>12500</v>
      </c>
      <c r="O14" s="14">
        <v>7500</v>
      </c>
      <c r="P14" s="14">
        <f t="shared" si="0"/>
        <v>195000</v>
      </c>
    </row>
    <row r="15" spans="1:16" x14ac:dyDescent="0.25">
      <c r="A15" s="59" t="s">
        <v>147</v>
      </c>
      <c r="B15" s="70">
        <v>725</v>
      </c>
      <c r="C15" s="14">
        <v>108534.5</v>
      </c>
      <c r="D15" s="14">
        <v>221410</v>
      </c>
      <c r="E15" s="14">
        <v>25035</v>
      </c>
      <c r="F15" s="14">
        <v>23755.5</v>
      </c>
      <c r="G15" s="14">
        <v>25853</v>
      </c>
      <c r="H15" s="14">
        <v>39255</v>
      </c>
      <c r="I15" s="14">
        <v>69837.5</v>
      </c>
      <c r="J15" s="14">
        <v>36394.5</v>
      </c>
      <c r="K15" s="14"/>
      <c r="L15" s="14">
        <v>143814</v>
      </c>
      <c r="M15" s="14">
        <v>29595</v>
      </c>
      <c r="N15" s="14">
        <v>46714</v>
      </c>
      <c r="O15" s="14">
        <v>31072.5</v>
      </c>
      <c r="P15" s="14">
        <f t="shared" si="0"/>
        <v>801270.5</v>
      </c>
    </row>
    <row r="16" spans="1:16" x14ac:dyDescent="0.25">
      <c r="A16" s="59" t="s">
        <v>148</v>
      </c>
      <c r="B16" s="70">
        <v>731</v>
      </c>
      <c r="C16" s="14">
        <v>156208.68</v>
      </c>
      <c r="D16" s="14">
        <v>318672.71999999997</v>
      </c>
      <c r="E16" s="14">
        <v>36050.400000000001</v>
      </c>
      <c r="F16" s="14">
        <v>34207.919999999998</v>
      </c>
      <c r="G16" s="14">
        <v>37228.32</v>
      </c>
      <c r="H16" s="14">
        <v>55603.31</v>
      </c>
      <c r="I16" s="14">
        <v>100532.52</v>
      </c>
      <c r="J16" s="14">
        <v>52408.08</v>
      </c>
      <c r="K16" s="14"/>
      <c r="L16" s="14">
        <v>207023.4</v>
      </c>
      <c r="M16" s="14">
        <v>42616.800000000003</v>
      </c>
      <c r="N16" s="14">
        <v>67268.160000000003</v>
      </c>
      <c r="O16" s="14">
        <v>44744.4</v>
      </c>
      <c r="P16" s="14">
        <f t="shared" si="0"/>
        <v>1152564.7099999997</v>
      </c>
    </row>
    <row r="17" spans="1:16" x14ac:dyDescent="0.25">
      <c r="A17" s="59" t="s">
        <v>149</v>
      </c>
      <c r="B17" s="70">
        <v>732</v>
      </c>
      <c r="C17" s="14">
        <v>26034.78</v>
      </c>
      <c r="D17" s="14">
        <v>53112.12</v>
      </c>
      <c r="E17" s="14">
        <v>6008.4</v>
      </c>
      <c r="F17" s="14">
        <v>5701.32</v>
      </c>
      <c r="G17" s="14">
        <v>6204.72</v>
      </c>
      <c r="H17" s="14">
        <v>9267.2199999999993</v>
      </c>
      <c r="I17" s="14">
        <v>16755.419999999998</v>
      </c>
      <c r="J17" s="14">
        <v>8734.68</v>
      </c>
      <c r="K17" s="14"/>
      <c r="L17" s="14">
        <v>34503.9</v>
      </c>
      <c r="M17" s="14">
        <v>7102.8</v>
      </c>
      <c r="N17" s="14">
        <v>11211.36</v>
      </c>
      <c r="O17" s="14">
        <v>7457.4</v>
      </c>
      <c r="P17" s="14">
        <f t="shared" si="0"/>
        <v>192094.11999999997</v>
      </c>
    </row>
    <row r="18" spans="1:16" x14ac:dyDescent="0.25">
      <c r="A18" s="59" t="s">
        <v>150</v>
      </c>
      <c r="B18" s="70">
        <v>733</v>
      </c>
      <c r="C18" s="14">
        <v>15450</v>
      </c>
      <c r="D18" s="14">
        <v>30825</v>
      </c>
      <c r="E18" s="14">
        <v>3300</v>
      </c>
      <c r="F18" s="14">
        <v>3300</v>
      </c>
      <c r="G18" s="14">
        <v>3450</v>
      </c>
      <c r="H18" s="14">
        <v>5550</v>
      </c>
      <c r="I18" s="14">
        <v>10050</v>
      </c>
      <c r="J18" s="14">
        <v>4950</v>
      </c>
      <c r="K18" s="14"/>
      <c r="L18" s="14">
        <v>19800</v>
      </c>
      <c r="M18" s="14">
        <v>4050</v>
      </c>
      <c r="N18" s="14">
        <v>6450</v>
      </c>
      <c r="O18" s="14">
        <v>4275</v>
      </c>
      <c r="P18" s="14">
        <f t="shared" si="0"/>
        <v>111450</v>
      </c>
    </row>
    <row r="19" spans="1:16" x14ac:dyDescent="0.25">
      <c r="A19" s="59" t="s">
        <v>151</v>
      </c>
      <c r="B19" s="70">
        <v>734</v>
      </c>
      <c r="C19" s="14">
        <v>9216.6299999999992</v>
      </c>
      <c r="D19" s="14">
        <v>7800</v>
      </c>
      <c r="E19" s="14">
        <v>1187.28</v>
      </c>
      <c r="F19" s="14">
        <v>1187.28</v>
      </c>
      <c r="G19" s="14">
        <v>1200</v>
      </c>
      <c r="H19" s="14">
        <v>2231.15</v>
      </c>
      <c r="I19" s="14">
        <v>5145.09</v>
      </c>
      <c r="J19" s="14">
        <v>2290.44</v>
      </c>
      <c r="K19" s="14"/>
      <c r="L19" s="14">
        <v>7800</v>
      </c>
      <c r="M19" s="14">
        <v>1708.14</v>
      </c>
      <c r="N19" s="14">
        <v>3000</v>
      </c>
      <c r="O19" s="14">
        <v>1800</v>
      </c>
      <c r="P19" s="14">
        <f t="shared" si="0"/>
        <v>44566.009999999995</v>
      </c>
    </row>
    <row r="20" spans="1:16" x14ac:dyDescent="0.25">
      <c r="A20" s="59" t="s">
        <v>152</v>
      </c>
      <c r="B20" s="70">
        <v>742</v>
      </c>
      <c r="C20" s="14"/>
      <c r="D20" s="14">
        <v>297017.02</v>
      </c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>
        <f t="shared" si="0"/>
        <v>297017.02</v>
      </c>
    </row>
    <row r="21" spans="1:16" x14ac:dyDescent="0.25">
      <c r="A21" s="59" t="s">
        <v>153</v>
      </c>
      <c r="B21" s="70">
        <v>749</v>
      </c>
      <c r="C21" s="14">
        <f>68914.8+123365.43</f>
        <v>192280.22999999998</v>
      </c>
      <c r="D21" s="14">
        <f>54925.2+119518.83</f>
        <v>174444.03</v>
      </c>
      <c r="E21" s="14">
        <f>14038.55+5000</f>
        <v>19038.55</v>
      </c>
      <c r="F21" s="14">
        <v>10000</v>
      </c>
      <c r="G21" s="14">
        <f>48145.75+10000</f>
        <v>58145.75</v>
      </c>
      <c r="H21" s="14">
        <v>19838</v>
      </c>
      <c r="I21" s="14">
        <v>37716</v>
      </c>
      <c r="J21" s="14">
        <f>27893.94+19204</f>
        <v>47097.94</v>
      </c>
      <c r="K21" s="14"/>
      <c r="L21" s="14">
        <f>131136.48+51837</f>
        <v>182973.48</v>
      </c>
      <c r="M21" s="14">
        <f>5407+14970</f>
        <v>20377</v>
      </c>
      <c r="N21" s="14">
        <f>14449.51+19260</f>
        <v>33709.51</v>
      </c>
      <c r="O21" s="14">
        <v>14819</v>
      </c>
      <c r="P21" s="14">
        <f t="shared" si="0"/>
        <v>810439.49</v>
      </c>
    </row>
    <row r="22" spans="1:16" ht="15.75" thickBot="1" x14ac:dyDescent="0.3">
      <c r="A22" s="79" t="s">
        <v>280</v>
      </c>
      <c r="B22" s="79"/>
      <c r="C22" s="80">
        <f>SUM(C3:C21)</f>
        <v>2333993.8199999998</v>
      </c>
      <c r="D22" s="80">
        <f t="shared" ref="D22:P22" si="1">SUM(D3:D21)</f>
        <v>4769886.8899999997</v>
      </c>
      <c r="E22" s="80">
        <f t="shared" si="1"/>
        <v>506539.63000000006</v>
      </c>
      <c r="F22" s="80">
        <f t="shared" si="1"/>
        <v>473718.02</v>
      </c>
      <c r="G22" s="80">
        <f t="shared" si="1"/>
        <v>557817.79</v>
      </c>
      <c r="H22" s="80">
        <f t="shared" si="1"/>
        <v>746787.4</v>
      </c>
      <c r="I22" s="80">
        <f t="shared" si="1"/>
        <v>1388807.53</v>
      </c>
      <c r="J22" s="80">
        <f t="shared" si="1"/>
        <v>742109.6399999999</v>
      </c>
      <c r="K22" s="80">
        <f t="shared" si="1"/>
        <v>0</v>
      </c>
      <c r="L22" s="80">
        <f t="shared" si="1"/>
        <v>2975285.78</v>
      </c>
      <c r="M22" s="80">
        <f t="shared" si="1"/>
        <v>603829.74000000011</v>
      </c>
      <c r="N22" s="80">
        <f t="shared" si="1"/>
        <v>908921.03</v>
      </c>
      <c r="O22" s="80">
        <f t="shared" si="1"/>
        <v>609038.30000000005</v>
      </c>
      <c r="P22" s="80">
        <f t="shared" si="1"/>
        <v>16616735.569999998</v>
      </c>
    </row>
    <row r="23" spans="1:16" ht="15.75" x14ac:dyDescent="0.25">
      <c r="A23" s="75" t="s">
        <v>155</v>
      </c>
      <c r="B23" s="76"/>
      <c r="C23" s="49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7"/>
    </row>
    <row r="24" spans="1:16" ht="15.75" x14ac:dyDescent="0.25">
      <c r="A24" s="73" t="s">
        <v>156</v>
      </c>
      <c r="B24" s="71">
        <v>751</v>
      </c>
      <c r="C24" s="72">
        <f>270790+14960</f>
        <v>285750</v>
      </c>
      <c r="D24" s="13">
        <v>106916</v>
      </c>
      <c r="E24" s="13">
        <v>15219</v>
      </c>
      <c r="F24" s="13">
        <v>14100</v>
      </c>
      <c r="G24" s="13">
        <v>20468</v>
      </c>
      <c r="H24" s="13">
        <v>51994.35</v>
      </c>
      <c r="I24" s="13">
        <v>70011</v>
      </c>
      <c r="J24" s="13">
        <v>20955</v>
      </c>
      <c r="K24" s="13">
        <v>13620</v>
      </c>
      <c r="L24" s="13">
        <v>26966</v>
      </c>
      <c r="M24" s="13">
        <v>15957</v>
      </c>
      <c r="N24" s="13">
        <v>35982</v>
      </c>
      <c r="O24" s="13">
        <v>23404</v>
      </c>
      <c r="P24" s="14">
        <f>SUM(C24:O24)</f>
        <v>701342.35</v>
      </c>
    </row>
    <row r="25" spans="1:16" ht="15.75" x14ac:dyDescent="0.25">
      <c r="A25" s="73" t="s">
        <v>157</v>
      </c>
      <c r="B25" s="71">
        <v>753</v>
      </c>
      <c r="C25" s="72">
        <v>50500</v>
      </c>
      <c r="D25" s="13">
        <v>134500</v>
      </c>
      <c r="E25" s="13">
        <v>4000</v>
      </c>
      <c r="F25" s="13">
        <v>2100</v>
      </c>
      <c r="G25" s="13">
        <v>7200</v>
      </c>
      <c r="H25" s="13">
        <v>8400</v>
      </c>
      <c r="I25" s="13">
        <v>12000</v>
      </c>
      <c r="J25" s="13">
        <v>10800</v>
      </c>
      <c r="K25" s="13"/>
      <c r="L25" s="13"/>
      <c r="M25" s="13"/>
      <c r="N25" s="13"/>
      <c r="O25" s="13">
        <v>3000</v>
      </c>
      <c r="P25" s="14">
        <f t="shared" ref="P25:P87" si="2">SUM(C25:O25)</f>
        <v>232500</v>
      </c>
    </row>
    <row r="26" spans="1:16" ht="15.75" x14ac:dyDescent="0.25">
      <c r="A26" s="73" t="s">
        <v>158</v>
      </c>
      <c r="B26" s="71">
        <v>754</v>
      </c>
      <c r="C26" s="7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4">
        <f t="shared" si="2"/>
        <v>0</v>
      </c>
    </row>
    <row r="27" spans="1:16" ht="15.75" x14ac:dyDescent="0.25">
      <c r="A27" s="73" t="s">
        <v>159</v>
      </c>
      <c r="B27" s="71">
        <v>755</v>
      </c>
      <c r="C27" s="72">
        <v>68132</v>
      </c>
      <c r="D27" s="13">
        <v>18623</v>
      </c>
      <c r="E27" s="13"/>
      <c r="F27" s="13">
        <v>22500</v>
      </c>
      <c r="G27" s="13"/>
      <c r="H27" s="13"/>
      <c r="I27" s="13">
        <v>1165</v>
      </c>
      <c r="J27" s="13"/>
      <c r="K27" s="13">
        <v>10102.5</v>
      </c>
      <c r="L27" s="13"/>
      <c r="M27" s="13"/>
      <c r="N27" s="13"/>
      <c r="O27" s="13"/>
      <c r="P27" s="14">
        <f t="shared" si="2"/>
        <v>120522.5</v>
      </c>
    </row>
    <row r="28" spans="1:16" ht="15.75" x14ac:dyDescent="0.25">
      <c r="A28" s="73" t="s">
        <v>160</v>
      </c>
      <c r="B28" s="71">
        <v>756</v>
      </c>
      <c r="C28" s="72"/>
      <c r="D28" s="13"/>
      <c r="E28" s="13"/>
      <c r="F28" s="13">
        <v>305</v>
      </c>
      <c r="G28" s="13"/>
      <c r="H28" s="13"/>
      <c r="I28" s="13">
        <v>29539.7</v>
      </c>
      <c r="J28" s="13"/>
      <c r="K28" s="13"/>
      <c r="L28" s="13"/>
      <c r="M28" s="13"/>
      <c r="N28" s="13"/>
      <c r="O28" s="13"/>
      <c r="P28" s="14">
        <f t="shared" si="2"/>
        <v>29844.7</v>
      </c>
    </row>
    <row r="29" spans="1:16" ht="15.75" x14ac:dyDescent="0.25">
      <c r="A29" s="73" t="s">
        <v>244</v>
      </c>
      <c r="B29" s="71">
        <v>759</v>
      </c>
      <c r="C29" s="72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4">
        <f t="shared" si="2"/>
        <v>0</v>
      </c>
    </row>
    <row r="30" spans="1:16" ht="15.75" x14ac:dyDescent="0.25">
      <c r="A30" s="73" t="s">
        <v>161</v>
      </c>
      <c r="B30" s="71">
        <v>761</v>
      </c>
      <c r="C30" s="72">
        <v>469212.88</v>
      </c>
      <c r="D30" s="13">
        <v>92877.65</v>
      </c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4">
        <f t="shared" si="2"/>
        <v>562090.53</v>
      </c>
    </row>
    <row r="31" spans="1:16" ht="15.75" x14ac:dyDescent="0.25">
      <c r="A31" s="73" t="s">
        <v>162</v>
      </c>
      <c r="B31" s="71">
        <v>762</v>
      </c>
      <c r="C31" s="72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4">
        <f t="shared" si="2"/>
        <v>0</v>
      </c>
    </row>
    <row r="32" spans="1:16" ht="15.75" x14ac:dyDescent="0.25">
      <c r="A32" s="73" t="s">
        <v>252</v>
      </c>
      <c r="B32" s="71">
        <v>764</v>
      </c>
      <c r="C32" s="7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4">
        <f t="shared" si="2"/>
        <v>0</v>
      </c>
    </row>
    <row r="33" spans="1:16" ht="15.75" x14ac:dyDescent="0.25">
      <c r="A33" s="73" t="s">
        <v>163</v>
      </c>
      <c r="B33" s="71">
        <v>765</v>
      </c>
      <c r="C33" s="7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4">
        <f t="shared" si="2"/>
        <v>0</v>
      </c>
    </row>
    <row r="34" spans="1:16" ht="15.75" x14ac:dyDescent="0.25">
      <c r="A34" s="73" t="s">
        <v>164</v>
      </c>
      <c r="B34" s="71">
        <v>767</v>
      </c>
      <c r="C34" s="72">
        <v>492101.12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4">
        <f t="shared" si="2"/>
        <v>492101.12</v>
      </c>
    </row>
    <row r="35" spans="1:16" ht="15.75" x14ac:dyDescent="0.25">
      <c r="A35" s="73" t="s">
        <v>253</v>
      </c>
      <c r="B35" s="71">
        <v>768</v>
      </c>
      <c r="C35" s="72">
        <v>3810</v>
      </c>
      <c r="D35" s="13">
        <v>1050</v>
      </c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4">
        <f t="shared" si="2"/>
        <v>4860</v>
      </c>
    </row>
    <row r="36" spans="1:16" ht="15.75" x14ac:dyDescent="0.25">
      <c r="A36" s="73" t="s">
        <v>165</v>
      </c>
      <c r="B36" s="71">
        <v>772</v>
      </c>
      <c r="C36" s="72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4">
        <f t="shared" si="2"/>
        <v>0</v>
      </c>
    </row>
    <row r="37" spans="1:16" ht="15.75" x14ac:dyDescent="0.25">
      <c r="A37" s="73" t="s">
        <v>166</v>
      </c>
      <c r="B37" s="71">
        <v>773</v>
      </c>
      <c r="C37" s="72">
        <v>59784</v>
      </c>
      <c r="D37" s="13">
        <v>75048</v>
      </c>
      <c r="E37" s="13">
        <v>8268</v>
      </c>
      <c r="F37" s="13">
        <v>7738</v>
      </c>
      <c r="G37" s="13">
        <v>18060</v>
      </c>
      <c r="H37" s="13">
        <v>23400</v>
      </c>
      <c r="I37" s="13">
        <v>19716</v>
      </c>
      <c r="J37" s="13">
        <v>6996</v>
      </c>
      <c r="K37" s="13"/>
      <c r="L37" s="13">
        <v>6996</v>
      </c>
      <c r="M37" s="13">
        <v>11448</v>
      </c>
      <c r="N37" s="13">
        <v>10176</v>
      </c>
      <c r="O37" s="13">
        <v>3600</v>
      </c>
      <c r="P37" s="14">
        <f t="shared" si="2"/>
        <v>251230</v>
      </c>
    </row>
    <row r="38" spans="1:16" ht="15.75" x14ac:dyDescent="0.25">
      <c r="A38" s="73" t="s">
        <v>277</v>
      </c>
      <c r="B38" s="71">
        <v>774</v>
      </c>
      <c r="C38" s="72">
        <v>3300</v>
      </c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4">
        <f t="shared" si="2"/>
        <v>3300</v>
      </c>
    </row>
    <row r="39" spans="1:16" ht="15.75" x14ac:dyDescent="0.25">
      <c r="A39" s="73" t="s">
        <v>254</v>
      </c>
      <c r="B39" s="71">
        <v>775</v>
      </c>
      <c r="C39" s="72">
        <v>99260</v>
      </c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4">
        <f t="shared" si="2"/>
        <v>99260</v>
      </c>
    </row>
    <row r="40" spans="1:16" ht="15.75" x14ac:dyDescent="0.25">
      <c r="A40" s="73" t="s">
        <v>167</v>
      </c>
      <c r="B40" s="71">
        <v>778</v>
      </c>
      <c r="C40" s="72"/>
      <c r="D40" s="13"/>
      <c r="E40" s="13"/>
      <c r="F40" s="13"/>
      <c r="G40" s="13">
        <v>1300</v>
      </c>
      <c r="H40" s="13">
        <v>300</v>
      </c>
      <c r="I40" s="13"/>
      <c r="J40" s="13">
        <v>500</v>
      </c>
      <c r="K40" s="13"/>
      <c r="L40" s="13"/>
      <c r="M40" s="13"/>
      <c r="N40" s="13"/>
      <c r="O40" s="13">
        <v>1350</v>
      </c>
      <c r="P40" s="14">
        <f t="shared" si="2"/>
        <v>3450</v>
      </c>
    </row>
    <row r="41" spans="1:16" ht="15.75" x14ac:dyDescent="0.25">
      <c r="A41" s="73" t="s">
        <v>168</v>
      </c>
      <c r="B41" s="71">
        <v>781</v>
      </c>
      <c r="C41" s="72"/>
      <c r="D41" s="13"/>
      <c r="E41" s="13"/>
      <c r="F41" s="13"/>
      <c r="G41" s="13"/>
      <c r="H41" s="13"/>
      <c r="I41" s="13"/>
      <c r="J41" s="13"/>
      <c r="K41" s="13">
        <v>3040</v>
      </c>
      <c r="L41" s="13"/>
      <c r="M41" s="13"/>
      <c r="N41" s="13"/>
      <c r="O41" s="13"/>
      <c r="P41" s="14">
        <f t="shared" si="2"/>
        <v>3040</v>
      </c>
    </row>
    <row r="42" spans="1:16" ht="15.75" x14ac:dyDescent="0.25">
      <c r="A42" s="73" t="s">
        <v>257</v>
      </c>
      <c r="B42" s="71">
        <v>783</v>
      </c>
      <c r="C42" s="72">
        <v>291730</v>
      </c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4">
        <f t="shared" si="2"/>
        <v>291730</v>
      </c>
    </row>
    <row r="43" spans="1:16" ht="15.75" x14ac:dyDescent="0.25">
      <c r="A43" s="73" t="s">
        <v>256</v>
      </c>
      <c r="B43" s="71">
        <v>784</v>
      </c>
      <c r="C43" s="7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4">
        <f t="shared" si="2"/>
        <v>0</v>
      </c>
    </row>
    <row r="44" spans="1:16" ht="15.75" x14ac:dyDescent="0.25">
      <c r="A44" s="73" t="s">
        <v>255</v>
      </c>
      <c r="B44" s="71">
        <v>793</v>
      </c>
      <c r="C44" s="7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4">
        <f t="shared" si="2"/>
        <v>0</v>
      </c>
    </row>
    <row r="45" spans="1:16" ht="15.75" x14ac:dyDescent="0.25">
      <c r="A45" s="73" t="s">
        <v>245</v>
      </c>
      <c r="B45" s="71">
        <v>802</v>
      </c>
      <c r="C45" s="72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4">
        <f t="shared" si="2"/>
        <v>0</v>
      </c>
    </row>
    <row r="46" spans="1:16" ht="15.75" x14ac:dyDescent="0.25">
      <c r="A46" s="73" t="s">
        <v>169</v>
      </c>
      <c r="B46" s="71">
        <v>805</v>
      </c>
      <c r="C46" s="72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4">
        <f t="shared" si="2"/>
        <v>0</v>
      </c>
    </row>
    <row r="47" spans="1:16" ht="15.75" x14ac:dyDescent="0.25">
      <c r="A47" s="73" t="s">
        <v>170</v>
      </c>
      <c r="B47" s="71">
        <v>811</v>
      </c>
      <c r="C47" s="72">
        <v>53557.5</v>
      </c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4">
        <f t="shared" si="2"/>
        <v>53557.5</v>
      </c>
    </row>
    <row r="48" spans="1:16" ht="15.75" x14ac:dyDescent="0.25">
      <c r="A48" s="73" t="s">
        <v>171</v>
      </c>
      <c r="B48" s="71">
        <v>812</v>
      </c>
      <c r="C48" s="7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4">
        <f t="shared" si="2"/>
        <v>0</v>
      </c>
    </row>
    <row r="49" spans="1:16" ht="15.75" x14ac:dyDescent="0.25">
      <c r="A49" s="73" t="s">
        <v>172</v>
      </c>
      <c r="B49" s="71">
        <v>813</v>
      </c>
      <c r="C49" s="7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4">
        <f t="shared" si="2"/>
        <v>0</v>
      </c>
    </row>
    <row r="50" spans="1:16" ht="15.75" x14ac:dyDescent="0.25">
      <c r="A50" s="73" t="s">
        <v>173</v>
      </c>
      <c r="B50" s="71">
        <v>814</v>
      </c>
      <c r="C50" s="72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4">
        <f t="shared" si="2"/>
        <v>0</v>
      </c>
    </row>
    <row r="51" spans="1:16" ht="15.75" x14ac:dyDescent="0.25">
      <c r="A51" s="73" t="s">
        <v>174</v>
      </c>
      <c r="B51" s="71">
        <v>815</v>
      </c>
      <c r="C51" s="7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4">
        <f t="shared" si="2"/>
        <v>0</v>
      </c>
    </row>
    <row r="52" spans="1:16" ht="15.75" x14ac:dyDescent="0.25">
      <c r="A52" s="73" t="s">
        <v>175</v>
      </c>
      <c r="B52" s="71">
        <v>821</v>
      </c>
      <c r="C52" s="7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4">
        <f t="shared" si="2"/>
        <v>0</v>
      </c>
    </row>
    <row r="53" spans="1:16" ht="15.75" x14ac:dyDescent="0.25">
      <c r="A53" s="73" t="s">
        <v>176</v>
      </c>
      <c r="B53" s="71">
        <v>823</v>
      </c>
      <c r="C53" s="7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4">
        <f t="shared" si="2"/>
        <v>0</v>
      </c>
    </row>
    <row r="54" spans="1:16" ht="15.75" x14ac:dyDescent="0.25">
      <c r="A54" s="73" t="s">
        <v>246</v>
      </c>
      <c r="B54" s="71">
        <v>827</v>
      </c>
      <c r="C54" s="7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4">
        <f t="shared" si="2"/>
        <v>0</v>
      </c>
    </row>
    <row r="55" spans="1:16" ht="15.75" x14ac:dyDescent="0.25">
      <c r="A55" s="73" t="s">
        <v>177</v>
      </c>
      <c r="B55" s="71">
        <v>829</v>
      </c>
      <c r="C55" s="72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4">
        <f t="shared" si="2"/>
        <v>0</v>
      </c>
    </row>
    <row r="56" spans="1:16" ht="15.75" x14ac:dyDescent="0.25">
      <c r="A56" s="73" t="s">
        <v>178</v>
      </c>
      <c r="B56" s="71">
        <v>830</v>
      </c>
      <c r="C56" s="72">
        <v>61900</v>
      </c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4">
        <f t="shared" si="2"/>
        <v>61900</v>
      </c>
    </row>
    <row r="57" spans="1:16" ht="15.75" x14ac:dyDescent="0.25">
      <c r="A57" s="73" t="s">
        <v>179</v>
      </c>
      <c r="B57" s="71">
        <v>841</v>
      </c>
      <c r="C57" s="72">
        <v>256249</v>
      </c>
      <c r="D57" s="13">
        <v>33420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4">
        <f t="shared" si="2"/>
        <v>289669</v>
      </c>
    </row>
    <row r="58" spans="1:16" ht="15.75" x14ac:dyDescent="0.25">
      <c r="A58" s="73" t="s">
        <v>180</v>
      </c>
      <c r="B58" s="71">
        <v>851</v>
      </c>
      <c r="C58" s="7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4">
        <f t="shared" si="2"/>
        <v>0</v>
      </c>
    </row>
    <row r="59" spans="1:16" ht="15.75" x14ac:dyDescent="0.25">
      <c r="A59" s="73" t="s">
        <v>181</v>
      </c>
      <c r="B59" s="71">
        <v>852</v>
      </c>
      <c r="C59" s="7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4">
        <f t="shared" si="2"/>
        <v>0</v>
      </c>
    </row>
    <row r="60" spans="1:16" ht="15.75" x14ac:dyDescent="0.25">
      <c r="A60" s="73" t="s">
        <v>182</v>
      </c>
      <c r="B60" s="71">
        <v>854</v>
      </c>
      <c r="C60" s="7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4">
        <f t="shared" si="2"/>
        <v>0</v>
      </c>
    </row>
    <row r="61" spans="1:16" ht="15.75" x14ac:dyDescent="0.25">
      <c r="A61" s="73" t="s">
        <v>188</v>
      </c>
      <c r="B61" s="70">
        <v>855</v>
      </c>
      <c r="C61" s="74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4">
        <f t="shared" si="2"/>
        <v>0</v>
      </c>
    </row>
    <row r="62" spans="1:16" x14ac:dyDescent="0.25">
      <c r="A62" s="59" t="s">
        <v>183</v>
      </c>
      <c r="B62" s="70">
        <v>856</v>
      </c>
      <c r="C62" s="74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4">
        <f t="shared" si="2"/>
        <v>0</v>
      </c>
    </row>
    <row r="63" spans="1:16" x14ac:dyDescent="0.25">
      <c r="A63" s="59" t="s">
        <v>184</v>
      </c>
      <c r="B63" s="70">
        <v>861</v>
      </c>
      <c r="C63" s="74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4">
        <f t="shared" si="2"/>
        <v>0</v>
      </c>
    </row>
    <row r="64" spans="1:16" x14ac:dyDescent="0.25">
      <c r="A64" s="59" t="s">
        <v>185</v>
      </c>
      <c r="B64" s="70">
        <v>871</v>
      </c>
      <c r="C64" s="74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4">
        <f t="shared" si="2"/>
        <v>0</v>
      </c>
    </row>
    <row r="65" spans="1:16" x14ac:dyDescent="0.25">
      <c r="A65" s="59" t="s">
        <v>186</v>
      </c>
      <c r="B65" s="70">
        <v>874</v>
      </c>
      <c r="C65" s="74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4">
        <f t="shared" si="2"/>
        <v>0</v>
      </c>
    </row>
    <row r="66" spans="1:16" x14ac:dyDescent="0.25">
      <c r="A66" s="59" t="s">
        <v>248</v>
      </c>
      <c r="B66" s="70">
        <v>876</v>
      </c>
      <c r="C66" s="74">
        <v>7000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4">
        <f t="shared" si="2"/>
        <v>7000</v>
      </c>
    </row>
    <row r="67" spans="1:16" x14ac:dyDescent="0.25">
      <c r="A67" s="59" t="s">
        <v>189</v>
      </c>
      <c r="B67" s="70">
        <v>877</v>
      </c>
      <c r="C67" s="74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4">
        <f t="shared" si="2"/>
        <v>0</v>
      </c>
    </row>
    <row r="68" spans="1:16" x14ac:dyDescent="0.25">
      <c r="A68" s="59" t="s">
        <v>187</v>
      </c>
      <c r="B68" s="70">
        <v>878</v>
      </c>
      <c r="C68" s="74">
        <v>54000</v>
      </c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4">
        <f t="shared" si="2"/>
        <v>54000</v>
      </c>
    </row>
    <row r="69" spans="1:16" x14ac:dyDescent="0.25">
      <c r="A69" s="59" t="s">
        <v>190</v>
      </c>
      <c r="B69" s="70">
        <v>884</v>
      </c>
      <c r="C69" s="74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4">
        <f t="shared" si="2"/>
        <v>0</v>
      </c>
    </row>
    <row r="70" spans="1:16" x14ac:dyDescent="0.25">
      <c r="A70" s="59" t="s">
        <v>191</v>
      </c>
      <c r="B70" s="70">
        <v>892</v>
      </c>
      <c r="C70" s="14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4">
        <f t="shared" si="2"/>
        <v>0</v>
      </c>
    </row>
    <row r="71" spans="1:16" x14ac:dyDescent="0.25">
      <c r="A71" s="59" t="s">
        <v>192</v>
      </c>
      <c r="B71" s="70">
        <v>893</v>
      </c>
      <c r="C71" s="14">
        <v>45466.18</v>
      </c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4">
        <f t="shared" si="2"/>
        <v>45466.18</v>
      </c>
    </row>
    <row r="72" spans="1:16" x14ac:dyDescent="0.25">
      <c r="A72" s="59" t="s">
        <v>193</v>
      </c>
      <c r="B72" s="70">
        <v>905</v>
      </c>
      <c r="C72" s="14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4">
        <f t="shared" si="2"/>
        <v>0</v>
      </c>
    </row>
    <row r="73" spans="1:16" x14ac:dyDescent="0.25">
      <c r="A73" s="59" t="s">
        <v>194</v>
      </c>
      <c r="B73" s="70">
        <v>911</v>
      </c>
      <c r="C73" s="14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4">
        <f t="shared" si="2"/>
        <v>0</v>
      </c>
    </row>
    <row r="74" spans="1:16" x14ac:dyDescent="0.25">
      <c r="A74" s="59" t="s">
        <v>195</v>
      </c>
      <c r="B74" s="70">
        <v>912</v>
      </c>
      <c r="C74" s="14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4">
        <f t="shared" si="2"/>
        <v>0</v>
      </c>
    </row>
    <row r="75" spans="1:16" x14ac:dyDescent="0.25">
      <c r="A75" s="59" t="s">
        <v>196</v>
      </c>
      <c r="B75" s="70">
        <v>913</v>
      </c>
      <c r="C75" s="14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4">
        <f t="shared" si="2"/>
        <v>0</v>
      </c>
    </row>
    <row r="76" spans="1:16" x14ac:dyDescent="0.25">
      <c r="A76" s="59" t="s">
        <v>197</v>
      </c>
      <c r="B76" s="70">
        <v>914</v>
      </c>
      <c r="C76" s="14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4">
        <f t="shared" si="2"/>
        <v>0</v>
      </c>
    </row>
    <row r="77" spans="1:16" x14ac:dyDescent="0.25">
      <c r="A77" s="59" t="s">
        <v>198</v>
      </c>
      <c r="B77" s="70">
        <v>915</v>
      </c>
      <c r="C77" s="14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4">
        <f t="shared" si="2"/>
        <v>0</v>
      </c>
    </row>
    <row r="78" spans="1:16" x14ac:dyDescent="0.25">
      <c r="A78" s="59" t="s">
        <v>199</v>
      </c>
      <c r="B78" s="70">
        <v>921</v>
      </c>
      <c r="C78" s="14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4">
        <f t="shared" si="2"/>
        <v>0</v>
      </c>
    </row>
    <row r="79" spans="1:16" x14ac:dyDescent="0.25">
      <c r="A79" s="59" t="s">
        <v>200</v>
      </c>
      <c r="B79" s="70">
        <v>922</v>
      </c>
      <c r="C79" s="14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4">
        <f t="shared" si="2"/>
        <v>0</v>
      </c>
    </row>
    <row r="80" spans="1:16" x14ac:dyDescent="0.25">
      <c r="A80" s="59" t="s">
        <v>201</v>
      </c>
      <c r="B80" s="70">
        <v>923</v>
      </c>
      <c r="C80" s="14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4">
        <f t="shared" si="2"/>
        <v>0</v>
      </c>
    </row>
    <row r="81" spans="1:16" x14ac:dyDescent="0.25">
      <c r="A81" s="59" t="s">
        <v>202</v>
      </c>
      <c r="B81" s="70">
        <v>927</v>
      </c>
      <c r="C81" s="14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4">
        <f t="shared" si="2"/>
        <v>0</v>
      </c>
    </row>
    <row r="82" spans="1:16" x14ac:dyDescent="0.25">
      <c r="A82" s="59" t="s">
        <v>203</v>
      </c>
      <c r="B82" s="70">
        <v>929</v>
      </c>
      <c r="C82" s="14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4">
        <f t="shared" si="2"/>
        <v>0</v>
      </c>
    </row>
    <row r="83" spans="1:16" x14ac:dyDescent="0.25">
      <c r="A83" s="59" t="s">
        <v>204</v>
      </c>
      <c r="B83" s="70">
        <v>930</v>
      </c>
      <c r="C83" s="14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4">
        <f t="shared" si="2"/>
        <v>0</v>
      </c>
    </row>
    <row r="84" spans="1:16" x14ac:dyDescent="0.25">
      <c r="A84" s="59" t="s">
        <v>205</v>
      </c>
      <c r="B84" s="70">
        <v>933</v>
      </c>
      <c r="C84" s="14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4">
        <f t="shared" si="2"/>
        <v>0</v>
      </c>
    </row>
    <row r="85" spans="1:16" x14ac:dyDescent="0.25">
      <c r="A85" s="59" t="s">
        <v>206</v>
      </c>
      <c r="B85" s="70">
        <v>940</v>
      </c>
      <c r="C85" s="14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4">
        <f t="shared" si="2"/>
        <v>0</v>
      </c>
    </row>
    <row r="86" spans="1:16" x14ac:dyDescent="0.25">
      <c r="A86" s="59" t="s">
        <v>247</v>
      </c>
      <c r="B86" s="70">
        <v>941</v>
      </c>
      <c r="C86" s="14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4">
        <f t="shared" si="2"/>
        <v>0</v>
      </c>
    </row>
    <row r="87" spans="1:16" x14ac:dyDescent="0.25">
      <c r="A87" s="59" t="s">
        <v>207</v>
      </c>
      <c r="B87" s="70">
        <v>954</v>
      </c>
      <c r="C87" s="14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4">
        <f t="shared" si="2"/>
        <v>0</v>
      </c>
    </row>
    <row r="88" spans="1:16" x14ac:dyDescent="0.25">
      <c r="A88" s="59" t="s">
        <v>208</v>
      </c>
      <c r="B88" s="70">
        <v>969</v>
      </c>
      <c r="C88" s="14">
        <f>192562+117702+42680+397839.1+47600+430520.14</f>
        <v>1228903.24</v>
      </c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4">
        <f>SUM(C88:O88)</f>
        <v>1228903.24</v>
      </c>
    </row>
    <row r="89" spans="1:16" x14ac:dyDescent="0.25">
      <c r="A89" s="59" t="s">
        <v>210</v>
      </c>
      <c r="B89" s="70">
        <v>975</v>
      </c>
      <c r="C89" s="14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4">
        <f>SUM(C89:O89)</f>
        <v>0</v>
      </c>
    </row>
    <row r="90" spans="1:16" x14ac:dyDescent="0.25">
      <c r="A90" s="59" t="s">
        <v>211</v>
      </c>
      <c r="B90" s="70">
        <v>979</v>
      </c>
      <c r="C90" s="14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4">
        <f>SUM(C90:O90)</f>
        <v>0</v>
      </c>
    </row>
    <row r="91" spans="1:16" ht="15.75" thickBot="1" x14ac:dyDescent="0.3">
      <c r="A91" s="84" t="s">
        <v>281</v>
      </c>
      <c r="B91" s="85"/>
      <c r="C91" s="86">
        <f>SUM(C24:C90)</f>
        <v>3530655.92</v>
      </c>
      <c r="D91" s="86">
        <f t="shared" ref="D91:P91" si="3">SUM(D24:D90)</f>
        <v>462434.65</v>
      </c>
      <c r="E91" s="86">
        <f t="shared" si="3"/>
        <v>27487</v>
      </c>
      <c r="F91" s="86">
        <f t="shared" si="3"/>
        <v>46743</v>
      </c>
      <c r="G91" s="86">
        <f t="shared" si="3"/>
        <v>47028</v>
      </c>
      <c r="H91" s="86">
        <f t="shared" si="3"/>
        <v>84094.35</v>
      </c>
      <c r="I91" s="86">
        <f t="shared" si="3"/>
        <v>132431.70000000001</v>
      </c>
      <c r="J91" s="86">
        <f t="shared" si="3"/>
        <v>39251</v>
      </c>
      <c r="K91" s="86">
        <f t="shared" si="3"/>
        <v>26762.5</v>
      </c>
      <c r="L91" s="86">
        <f t="shared" si="3"/>
        <v>33962</v>
      </c>
      <c r="M91" s="86">
        <f t="shared" si="3"/>
        <v>27405</v>
      </c>
      <c r="N91" s="86">
        <f t="shared" si="3"/>
        <v>46158</v>
      </c>
      <c r="O91" s="86">
        <f t="shared" si="3"/>
        <v>31354</v>
      </c>
      <c r="P91" s="86">
        <f t="shared" si="3"/>
        <v>4535767.12</v>
      </c>
    </row>
    <row r="92" spans="1:16" ht="15.75" x14ac:dyDescent="0.25">
      <c r="A92" s="75" t="s">
        <v>283</v>
      </c>
      <c r="B92" s="77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14">
        <f>SUM(B92:O92)</f>
        <v>0</v>
      </c>
    </row>
    <row r="93" spans="1:16" x14ac:dyDescent="0.25">
      <c r="A93" s="81" t="s">
        <v>284</v>
      </c>
      <c r="B93" s="13"/>
      <c r="C93" s="82">
        <v>396389</v>
      </c>
      <c r="D93" s="82"/>
      <c r="E93" s="82"/>
      <c r="F93" s="82">
        <v>30000</v>
      </c>
      <c r="G93" s="82"/>
      <c r="H93" s="82"/>
      <c r="I93" s="82"/>
      <c r="J93" s="82"/>
      <c r="K93" s="82"/>
      <c r="L93" s="82"/>
      <c r="M93" s="82"/>
      <c r="N93" s="82"/>
      <c r="O93" s="82"/>
      <c r="P93" s="14">
        <f t="shared" ref="P93:P111" si="4">SUM(C93:O93)</f>
        <v>426389</v>
      </c>
    </row>
    <row r="94" spans="1:16" x14ac:dyDescent="0.25">
      <c r="A94" s="81" t="s">
        <v>285</v>
      </c>
      <c r="B94" s="13"/>
      <c r="C94" s="82">
        <v>95736.82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14">
        <f t="shared" si="4"/>
        <v>95736.82</v>
      </c>
    </row>
    <row r="95" spans="1:16" x14ac:dyDescent="0.25">
      <c r="A95" s="81" t="s">
        <v>286</v>
      </c>
      <c r="B95" s="13"/>
      <c r="C95" s="82">
        <v>30000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14">
        <f t="shared" si="4"/>
        <v>30000</v>
      </c>
    </row>
    <row r="96" spans="1:16" hidden="1" x14ac:dyDescent="0.25">
      <c r="A96" s="81"/>
      <c r="B96" s="13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14">
        <f t="shared" si="4"/>
        <v>0</v>
      </c>
    </row>
    <row r="97" spans="1:16" hidden="1" x14ac:dyDescent="0.25">
      <c r="A97" s="81"/>
      <c r="B97" s="13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14">
        <f t="shared" si="4"/>
        <v>0</v>
      </c>
    </row>
    <row r="98" spans="1:16" hidden="1" x14ac:dyDescent="0.25">
      <c r="A98" s="81"/>
      <c r="B98" s="13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14">
        <f t="shared" si="4"/>
        <v>0</v>
      </c>
    </row>
    <row r="99" spans="1:16" hidden="1" x14ac:dyDescent="0.25">
      <c r="A99" s="81"/>
      <c r="B99" s="13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14">
        <f t="shared" si="4"/>
        <v>0</v>
      </c>
    </row>
    <row r="100" spans="1:16" hidden="1" x14ac:dyDescent="0.25">
      <c r="A100" s="81"/>
      <c r="B100" s="13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14">
        <f t="shared" si="4"/>
        <v>0</v>
      </c>
    </row>
    <row r="101" spans="1:16" hidden="1" x14ac:dyDescent="0.25">
      <c r="A101" s="81"/>
      <c r="B101" s="13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14">
        <f t="shared" si="4"/>
        <v>0</v>
      </c>
    </row>
    <row r="102" spans="1:16" hidden="1" x14ac:dyDescent="0.25">
      <c r="A102" s="81"/>
      <c r="B102" s="13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14">
        <f t="shared" si="4"/>
        <v>0</v>
      </c>
    </row>
    <row r="103" spans="1:16" hidden="1" x14ac:dyDescent="0.25">
      <c r="A103" s="81"/>
      <c r="B103" s="13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14">
        <f t="shared" si="4"/>
        <v>0</v>
      </c>
    </row>
    <row r="104" spans="1:16" hidden="1" x14ac:dyDescent="0.25">
      <c r="A104" s="81"/>
      <c r="B104" s="13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14">
        <f t="shared" si="4"/>
        <v>0</v>
      </c>
    </row>
    <row r="105" spans="1:16" hidden="1" x14ac:dyDescent="0.25">
      <c r="A105" s="81"/>
      <c r="B105" s="13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14">
        <f t="shared" si="4"/>
        <v>0</v>
      </c>
    </row>
    <row r="106" spans="1:16" hidden="1" x14ac:dyDescent="0.25">
      <c r="A106" s="81"/>
      <c r="B106" s="13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14">
        <f t="shared" si="4"/>
        <v>0</v>
      </c>
    </row>
    <row r="107" spans="1:16" hidden="1" x14ac:dyDescent="0.25">
      <c r="A107" s="81"/>
      <c r="B107" s="13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14">
        <f t="shared" si="4"/>
        <v>0</v>
      </c>
    </row>
    <row r="108" spans="1:16" hidden="1" x14ac:dyDescent="0.25">
      <c r="A108" s="81"/>
      <c r="B108" s="13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14">
        <f t="shared" si="4"/>
        <v>0</v>
      </c>
    </row>
    <row r="109" spans="1:16" hidden="1" x14ac:dyDescent="0.25">
      <c r="A109" s="81"/>
      <c r="B109" s="13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14">
        <f t="shared" si="4"/>
        <v>0</v>
      </c>
    </row>
    <row r="110" spans="1:16" hidden="1" x14ac:dyDescent="0.25">
      <c r="A110" s="81"/>
      <c r="B110" s="13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14">
        <f t="shared" si="4"/>
        <v>0</v>
      </c>
    </row>
    <row r="111" spans="1:16" x14ac:dyDescent="0.25">
      <c r="A111" s="81" t="s">
        <v>282</v>
      </c>
      <c r="B111" s="13"/>
      <c r="C111" s="82">
        <f>SUM(C93:C110)</f>
        <v>522125.82</v>
      </c>
      <c r="D111" s="82">
        <f t="shared" ref="D111:O111" si="5">SUM(D93:D110)</f>
        <v>0</v>
      </c>
      <c r="E111" s="82">
        <f t="shared" si="5"/>
        <v>0</v>
      </c>
      <c r="F111" s="82">
        <f t="shared" si="5"/>
        <v>30000</v>
      </c>
      <c r="G111" s="82">
        <f t="shared" si="5"/>
        <v>0</v>
      </c>
      <c r="H111" s="82">
        <f t="shared" si="5"/>
        <v>0</v>
      </c>
      <c r="I111" s="82">
        <f t="shared" si="5"/>
        <v>0</v>
      </c>
      <c r="J111" s="82">
        <f t="shared" si="5"/>
        <v>0</v>
      </c>
      <c r="K111" s="82">
        <f t="shared" si="5"/>
        <v>0</v>
      </c>
      <c r="L111" s="82">
        <f t="shared" si="5"/>
        <v>0</v>
      </c>
      <c r="M111" s="82">
        <f t="shared" si="5"/>
        <v>0</v>
      </c>
      <c r="N111" s="82">
        <f t="shared" si="5"/>
        <v>0</v>
      </c>
      <c r="O111" s="82">
        <f t="shared" si="5"/>
        <v>0</v>
      </c>
      <c r="P111" s="14">
        <f t="shared" si="4"/>
        <v>552125.82000000007</v>
      </c>
    </row>
    <row r="112" spans="1:16" x14ac:dyDescent="0.25">
      <c r="A112" s="88"/>
      <c r="B112" s="23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</row>
    <row r="113" spans="1:16" ht="15.75" thickBot="1" x14ac:dyDescent="0.3">
      <c r="A113" s="87" t="s">
        <v>279</v>
      </c>
      <c r="B113" s="24"/>
      <c r="C113" s="25">
        <f>C91+C22+C111</f>
        <v>6386775.5600000005</v>
      </c>
      <c r="D113" s="25">
        <f t="shared" ref="D113:P113" si="6">D91+D22</f>
        <v>5232321.54</v>
      </c>
      <c r="E113" s="25">
        <f t="shared" si="6"/>
        <v>534026.63000000012</v>
      </c>
      <c r="F113" s="25">
        <f t="shared" si="6"/>
        <v>520461.02</v>
      </c>
      <c r="G113" s="25">
        <f t="shared" si="6"/>
        <v>604845.79</v>
      </c>
      <c r="H113" s="25">
        <f t="shared" si="6"/>
        <v>830881.75</v>
      </c>
      <c r="I113" s="25">
        <f t="shared" si="6"/>
        <v>1521239.23</v>
      </c>
      <c r="J113" s="25">
        <f t="shared" si="6"/>
        <v>781360.6399999999</v>
      </c>
      <c r="K113" s="25">
        <f t="shared" si="6"/>
        <v>26762.5</v>
      </c>
      <c r="L113" s="25">
        <f t="shared" si="6"/>
        <v>3009247.78</v>
      </c>
      <c r="M113" s="25">
        <f t="shared" si="6"/>
        <v>631234.74000000011</v>
      </c>
      <c r="N113" s="25">
        <f t="shared" si="6"/>
        <v>955079.03</v>
      </c>
      <c r="O113" s="25">
        <f t="shared" si="6"/>
        <v>640392.30000000005</v>
      </c>
      <c r="P113" s="25">
        <f t="shared" si="6"/>
        <v>21152502.689999998</v>
      </c>
    </row>
    <row r="114" spans="1:16" ht="15.75" thickTop="1" x14ac:dyDescent="0.25"/>
  </sheetData>
  <pageMargins left="0.45" right="0.25" top="0.5" bottom="1.25" header="0.3" footer="0.3"/>
  <pageSetup paperSize="5" orientation="portrait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workbookViewId="0">
      <pane xSplit="6810" ySplit="600" topLeftCell="D1" activePane="bottomRight"/>
      <selection pane="topRight" activeCell="B1" sqref="B1:B65536"/>
      <selection pane="bottomLeft" activeCell="A8" sqref="A8:IV8"/>
      <selection pane="bottomRight" activeCell="F5" sqref="F5"/>
    </sheetView>
  </sheetViews>
  <sheetFormatPr defaultRowHeight="15" x14ac:dyDescent="0.25"/>
  <cols>
    <col min="1" max="1" width="65.5703125" customWidth="1"/>
    <col min="2" max="2" width="42.5703125" hidden="1" customWidth="1"/>
    <col min="3" max="3" width="22.85546875" customWidth="1"/>
    <col min="4" max="4" width="22.140625" customWidth="1"/>
    <col min="5" max="5" width="18" customWidth="1"/>
    <col min="6" max="6" width="19.140625" customWidth="1"/>
    <col min="7" max="7" width="15.7109375" customWidth="1"/>
    <col min="8" max="8" width="14.42578125" customWidth="1"/>
    <col min="9" max="9" width="22.7109375" customWidth="1"/>
  </cols>
  <sheetData>
    <row r="1" spans="1:9" x14ac:dyDescent="0.25">
      <c r="C1" t="s">
        <v>376</v>
      </c>
      <c r="D1" t="s">
        <v>225</v>
      </c>
      <c r="E1" t="s">
        <v>260</v>
      </c>
      <c r="F1" t="s">
        <v>288</v>
      </c>
      <c r="G1" t="s">
        <v>289</v>
      </c>
      <c r="H1" t="s">
        <v>290</v>
      </c>
    </row>
    <row r="3" spans="1:9" x14ac:dyDescent="0.25">
      <c r="A3" t="s">
        <v>291</v>
      </c>
      <c r="B3" t="s">
        <v>296</v>
      </c>
      <c r="C3">
        <v>969</v>
      </c>
      <c r="D3" s="139">
        <v>700000</v>
      </c>
      <c r="F3">
        <v>378670.2</v>
      </c>
      <c r="I3">
        <f>SUM(E3:H3)</f>
        <v>378670.2</v>
      </c>
    </row>
    <row r="4" spans="1:9" x14ac:dyDescent="0.25">
      <c r="A4" t="s">
        <v>292</v>
      </c>
      <c r="B4" t="s">
        <v>295</v>
      </c>
      <c r="C4">
        <v>969</v>
      </c>
      <c r="D4" s="139">
        <v>500000</v>
      </c>
      <c r="F4">
        <v>249751.5</v>
      </c>
      <c r="I4">
        <f t="shared" ref="I4:I23" si="0">SUM(E4:H4)</f>
        <v>249751.5</v>
      </c>
    </row>
    <row r="5" spans="1:9" x14ac:dyDescent="0.25">
      <c r="A5" t="s">
        <v>293</v>
      </c>
      <c r="B5" t="s">
        <v>294</v>
      </c>
      <c r="C5">
        <v>444</v>
      </c>
      <c r="D5" s="139">
        <v>4678063.1500000004</v>
      </c>
      <c r="I5">
        <f t="shared" si="0"/>
        <v>0</v>
      </c>
    </row>
    <row r="6" spans="1:9" hidden="1" x14ac:dyDescent="0.25">
      <c r="D6" s="139"/>
      <c r="I6">
        <f t="shared" si="0"/>
        <v>0</v>
      </c>
    </row>
    <row r="7" spans="1:9" x14ac:dyDescent="0.25">
      <c r="A7" t="s">
        <v>298</v>
      </c>
      <c r="B7" t="s">
        <v>297</v>
      </c>
      <c r="C7">
        <v>855</v>
      </c>
      <c r="D7" s="139">
        <v>150000</v>
      </c>
      <c r="I7">
        <f t="shared" si="0"/>
        <v>0</v>
      </c>
    </row>
    <row r="8" spans="1:9" hidden="1" x14ac:dyDescent="0.25">
      <c r="D8" s="139"/>
      <c r="I8">
        <f t="shared" si="0"/>
        <v>0</v>
      </c>
    </row>
    <row r="9" spans="1:9" x14ac:dyDescent="0.25">
      <c r="A9" t="s">
        <v>299</v>
      </c>
      <c r="C9">
        <v>969</v>
      </c>
      <c r="D9" s="139">
        <v>500000</v>
      </c>
      <c r="I9">
        <f t="shared" si="0"/>
        <v>0</v>
      </c>
    </row>
    <row r="10" spans="1:9" x14ac:dyDescent="0.25">
      <c r="A10" t="s">
        <v>377</v>
      </c>
      <c r="C10">
        <v>230</v>
      </c>
      <c r="D10" s="139">
        <v>1000000</v>
      </c>
    </row>
    <row r="11" spans="1:9" x14ac:dyDescent="0.25">
      <c r="A11" t="s">
        <v>378</v>
      </c>
      <c r="C11">
        <v>753</v>
      </c>
      <c r="D11" s="139">
        <v>100000</v>
      </c>
    </row>
    <row r="12" spans="1:9" x14ac:dyDescent="0.25">
      <c r="A12" t="s">
        <v>300</v>
      </c>
      <c r="C12">
        <v>861</v>
      </c>
      <c r="D12" s="139">
        <v>1000000</v>
      </c>
      <c r="I12">
        <f t="shared" si="0"/>
        <v>0</v>
      </c>
    </row>
    <row r="13" spans="1:9" x14ac:dyDescent="0.25">
      <c r="A13" t="s">
        <v>301</v>
      </c>
      <c r="C13">
        <v>969</v>
      </c>
      <c r="D13" s="139">
        <v>800000</v>
      </c>
      <c r="I13">
        <f t="shared" si="0"/>
        <v>0</v>
      </c>
    </row>
    <row r="14" spans="1:9" x14ac:dyDescent="0.25">
      <c r="A14" t="s">
        <v>302</v>
      </c>
      <c r="C14">
        <v>861</v>
      </c>
      <c r="D14" s="139">
        <v>500000</v>
      </c>
      <c r="I14">
        <f t="shared" si="0"/>
        <v>0</v>
      </c>
    </row>
    <row r="15" spans="1:9" x14ac:dyDescent="0.25">
      <c r="A15" t="s">
        <v>303</v>
      </c>
      <c r="C15">
        <v>969</v>
      </c>
      <c r="D15" s="139">
        <v>500000</v>
      </c>
      <c r="I15">
        <f t="shared" si="0"/>
        <v>0</v>
      </c>
    </row>
    <row r="16" spans="1:9" x14ac:dyDescent="0.25">
      <c r="A16" t="s">
        <v>379</v>
      </c>
      <c r="C16">
        <v>250</v>
      </c>
      <c r="D16" s="139">
        <v>111118.05</v>
      </c>
      <c r="I16">
        <f t="shared" si="0"/>
        <v>0</v>
      </c>
    </row>
    <row r="17" spans="1:9" x14ac:dyDescent="0.25">
      <c r="A17" t="s">
        <v>380</v>
      </c>
      <c r="C17">
        <v>779</v>
      </c>
      <c r="D17" s="139">
        <v>130000</v>
      </c>
      <c r="I17">
        <f t="shared" si="0"/>
        <v>0</v>
      </c>
    </row>
    <row r="18" spans="1:9" x14ac:dyDescent="0.25">
      <c r="A18" t="s">
        <v>381</v>
      </c>
      <c r="C18">
        <v>969</v>
      </c>
      <c r="D18" s="139">
        <v>650000</v>
      </c>
      <c r="I18">
        <f t="shared" si="0"/>
        <v>0</v>
      </c>
    </row>
    <row r="19" spans="1:9" x14ac:dyDescent="0.25">
      <c r="A19" t="s">
        <v>382</v>
      </c>
      <c r="C19">
        <v>969</v>
      </c>
      <c r="D19" s="139">
        <v>150000</v>
      </c>
      <c r="I19">
        <f t="shared" si="0"/>
        <v>0</v>
      </c>
    </row>
    <row r="20" spans="1:9" x14ac:dyDescent="0.25">
      <c r="A20" t="s">
        <v>383</v>
      </c>
      <c r="C20">
        <v>969</v>
      </c>
      <c r="D20" s="139">
        <v>200000</v>
      </c>
      <c r="I20">
        <f t="shared" si="0"/>
        <v>0</v>
      </c>
    </row>
    <row r="21" spans="1:9" x14ac:dyDescent="0.25">
      <c r="A21" t="s">
        <v>304</v>
      </c>
      <c r="C21">
        <v>969</v>
      </c>
      <c r="D21" s="139">
        <v>850000</v>
      </c>
      <c r="I21">
        <f t="shared" si="0"/>
        <v>0</v>
      </c>
    </row>
    <row r="22" spans="1:9" x14ac:dyDescent="0.25">
      <c r="A22" t="s">
        <v>386</v>
      </c>
      <c r="C22">
        <v>969</v>
      </c>
      <c r="D22" s="139">
        <v>200000</v>
      </c>
      <c r="I22">
        <f t="shared" si="0"/>
        <v>0</v>
      </c>
    </row>
    <row r="23" spans="1:9" x14ac:dyDescent="0.25">
      <c r="A23" t="s">
        <v>385</v>
      </c>
      <c r="C23">
        <v>201</v>
      </c>
      <c r="D23" s="139">
        <v>400000</v>
      </c>
      <c r="I23">
        <f t="shared" si="0"/>
        <v>0</v>
      </c>
    </row>
    <row r="24" spans="1:9" x14ac:dyDescent="0.25">
      <c r="A24" t="s">
        <v>384</v>
      </c>
      <c r="C24">
        <v>201</v>
      </c>
      <c r="D24" s="139">
        <v>600000</v>
      </c>
    </row>
    <row r="25" spans="1:9" ht="15.75" thickBot="1" x14ac:dyDescent="0.3">
      <c r="A25" s="90" t="s">
        <v>56</v>
      </c>
      <c r="B25" s="90"/>
      <c r="C25" s="90"/>
      <c r="D25" s="97">
        <f t="shared" ref="D25:I25" si="1">SUM(D3:D24)</f>
        <v>13719181.200000001</v>
      </c>
      <c r="E25" s="90">
        <f t="shared" si="1"/>
        <v>0</v>
      </c>
      <c r="F25" s="90">
        <f t="shared" si="1"/>
        <v>628421.69999999995</v>
      </c>
      <c r="G25" s="90">
        <f t="shared" si="1"/>
        <v>0</v>
      </c>
      <c r="H25" s="90">
        <f t="shared" si="1"/>
        <v>0</v>
      </c>
      <c r="I25" s="91">
        <f t="shared" si="1"/>
        <v>628421.69999999995</v>
      </c>
    </row>
    <row r="26" spans="1:9" ht="15.75" thickTop="1" x14ac:dyDescent="0.25">
      <c r="A26" t="s">
        <v>312</v>
      </c>
      <c r="I26">
        <f t="shared" ref="I26:I31" si="2">SUM(E26:H26)</f>
        <v>0</v>
      </c>
    </row>
    <row r="27" spans="1:9" x14ac:dyDescent="0.25">
      <c r="I27">
        <f t="shared" si="2"/>
        <v>0</v>
      </c>
    </row>
    <row r="28" spans="1:9" x14ac:dyDescent="0.25">
      <c r="A28" t="s">
        <v>313</v>
      </c>
      <c r="I28">
        <f t="shared" si="2"/>
        <v>0</v>
      </c>
    </row>
    <row r="29" spans="1:9" x14ac:dyDescent="0.25">
      <c r="I29">
        <f t="shared" si="2"/>
        <v>0</v>
      </c>
    </row>
    <row r="30" spans="1:9" x14ac:dyDescent="0.25">
      <c r="A30" t="s">
        <v>314</v>
      </c>
      <c r="I30">
        <f t="shared" si="2"/>
        <v>0</v>
      </c>
    </row>
    <row r="31" spans="1:9" x14ac:dyDescent="0.25">
      <c r="I31">
        <f t="shared" si="2"/>
        <v>0</v>
      </c>
    </row>
    <row r="32" spans="1:9" ht="15.75" thickBot="1" x14ac:dyDescent="0.3">
      <c r="A32" s="92"/>
      <c r="B32" s="92"/>
      <c r="C32" s="92"/>
      <c r="D32" s="92"/>
      <c r="E32" s="92"/>
      <c r="F32" s="92"/>
      <c r="G32" s="92"/>
      <c r="H32" s="92"/>
      <c r="I32" s="96">
        <f>SUM(I26:I31)</f>
        <v>0</v>
      </c>
    </row>
    <row r="33" spans="1:9" ht="15.75" thickTop="1" x14ac:dyDescent="0.25">
      <c r="A33" t="s">
        <v>305</v>
      </c>
    </row>
    <row r="34" spans="1:9" ht="15.75" thickBot="1" x14ac:dyDescent="0.3">
      <c r="A34" s="92"/>
      <c r="B34" s="92"/>
      <c r="C34" s="92"/>
      <c r="D34" s="92"/>
      <c r="E34" s="92"/>
      <c r="F34" s="92"/>
      <c r="G34" s="92"/>
      <c r="H34" s="92"/>
      <c r="I34" s="96">
        <f>SUM(I33)</f>
        <v>0</v>
      </c>
    </row>
    <row r="35" spans="1:9" ht="15.75" thickTop="1" x14ac:dyDescent="0.25">
      <c r="A35" t="s">
        <v>306</v>
      </c>
    </row>
    <row r="36" spans="1:9" x14ac:dyDescent="0.25">
      <c r="A36" t="s">
        <v>307</v>
      </c>
      <c r="I36">
        <f t="shared" ref="I36:I42" si="3">SUM(E36:H36)</f>
        <v>0</v>
      </c>
    </row>
    <row r="37" spans="1:9" x14ac:dyDescent="0.25">
      <c r="A37" s="93" t="s">
        <v>334</v>
      </c>
      <c r="I37">
        <f t="shared" si="3"/>
        <v>0</v>
      </c>
    </row>
    <row r="38" spans="1:9" x14ac:dyDescent="0.25">
      <c r="A38" t="s">
        <v>306</v>
      </c>
      <c r="I38">
        <f t="shared" si="3"/>
        <v>0</v>
      </c>
    </row>
    <row r="39" spans="1:9" x14ac:dyDescent="0.25">
      <c r="A39" t="s">
        <v>307</v>
      </c>
      <c r="I39">
        <f t="shared" si="3"/>
        <v>0</v>
      </c>
    </row>
    <row r="40" spans="1:9" x14ac:dyDescent="0.25">
      <c r="A40" t="s">
        <v>308</v>
      </c>
      <c r="I40">
        <f t="shared" si="3"/>
        <v>0</v>
      </c>
    </row>
    <row r="41" spans="1:9" x14ac:dyDescent="0.25">
      <c r="A41" t="s">
        <v>309</v>
      </c>
      <c r="I41">
        <f t="shared" si="3"/>
        <v>0</v>
      </c>
    </row>
    <row r="42" spans="1:9" x14ac:dyDescent="0.25">
      <c r="A42" t="s">
        <v>310</v>
      </c>
      <c r="I42">
        <f t="shared" si="3"/>
        <v>0</v>
      </c>
    </row>
    <row r="43" spans="1:9" ht="15.75" thickBot="1" x14ac:dyDescent="0.3">
      <c r="A43" s="94" t="s">
        <v>335</v>
      </c>
      <c r="B43" s="94"/>
      <c r="C43" s="94"/>
      <c r="D43" s="94"/>
      <c r="E43" s="94">
        <f>SUM(E36:E42)</f>
        <v>0</v>
      </c>
      <c r="F43" s="94">
        <f>SUM(F36:F42)</f>
        <v>0</v>
      </c>
      <c r="G43" s="94">
        <f>SUM(G36:G42)</f>
        <v>0</v>
      </c>
      <c r="H43" s="94">
        <f>SUM(H36:H42)</f>
        <v>0</v>
      </c>
      <c r="I43" s="91">
        <f>SUM(I36:I42)</f>
        <v>0</v>
      </c>
    </row>
    <row r="44" spans="1:9" x14ac:dyDescent="0.25">
      <c r="A44" s="23" t="s">
        <v>311</v>
      </c>
      <c r="B44" s="23"/>
      <c r="C44" s="23"/>
      <c r="D44" s="23"/>
      <c r="E44" s="23"/>
      <c r="F44" s="23"/>
      <c r="G44" s="23"/>
      <c r="H44" s="23"/>
      <c r="I44">
        <f>SUM(E44:H44)</f>
        <v>0</v>
      </c>
    </row>
    <row r="45" spans="1:9" ht="15.75" thickBot="1" x14ac:dyDescent="0.3">
      <c r="A45" s="95" t="s">
        <v>335</v>
      </c>
      <c r="B45" s="94"/>
      <c r="C45" s="94"/>
      <c r="D45" s="94"/>
      <c r="E45" s="94">
        <f>E44</f>
        <v>0</v>
      </c>
      <c r="F45" s="94">
        <f>F44</f>
        <v>0</v>
      </c>
      <c r="G45" s="94">
        <f>G44</f>
        <v>0</v>
      </c>
      <c r="H45" s="94">
        <f>H44</f>
        <v>0</v>
      </c>
      <c r="I45" s="91">
        <f>I44</f>
        <v>0</v>
      </c>
    </row>
    <row r="46" spans="1:9" x14ac:dyDescent="0.25">
      <c r="A46" s="93" t="s">
        <v>317</v>
      </c>
    </row>
    <row r="47" spans="1:9" x14ac:dyDescent="0.25">
      <c r="A47" t="s">
        <v>315</v>
      </c>
      <c r="I47">
        <f>SUM(E47:H47)</f>
        <v>0</v>
      </c>
    </row>
    <row r="48" spans="1:9" x14ac:dyDescent="0.25">
      <c r="A48" t="s">
        <v>316</v>
      </c>
      <c r="I48">
        <f>SUM(E48:H48)</f>
        <v>0</v>
      </c>
    </row>
    <row r="49" spans="1:9" ht="15.75" thickBot="1" x14ac:dyDescent="0.3">
      <c r="A49" s="94" t="s">
        <v>335</v>
      </c>
      <c r="B49" s="94"/>
      <c r="C49" s="94"/>
      <c r="D49" s="94"/>
      <c r="E49" s="94">
        <f>SUM(E47:E48)</f>
        <v>0</v>
      </c>
      <c r="F49" s="94">
        <f>SUM(F47:F48)</f>
        <v>0</v>
      </c>
      <c r="G49" s="94">
        <f>SUM(G47:G48)</f>
        <v>0</v>
      </c>
      <c r="H49" s="94">
        <f>SUM(H47:H48)</f>
        <v>0</v>
      </c>
      <c r="I49" s="91">
        <f>SUM(I47:I48)</f>
        <v>0</v>
      </c>
    </row>
    <row r="50" spans="1:9" x14ac:dyDescent="0.25">
      <c r="A50" s="93" t="s">
        <v>318</v>
      </c>
    </row>
    <row r="51" spans="1:9" x14ac:dyDescent="0.25">
      <c r="A51" t="s">
        <v>319</v>
      </c>
      <c r="I51">
        <f t="shared" ref="I51:I57" si="4">SUM(E51:H51)</f>
        <v>0</v>
      </c>
    </row>
    <row r="52" spans="1:9" x14ac:dyDescent="0.25">
      <c r="A52" t="s">
        <v>320</v>
      </c>
      <c r="I52">
        <f t="shared" si="4"/>
        <v>0</v>
      </c>
    </row>
    <row r="53" spans="1:9" x14ac:dyDescent="0.25">
      <c r="A53" t="s">
        <v>321</v>
      </c>
      <c r="I53">
        <f t="shared" si="4"/>
        <v>0</v>
      </c>
    </row>
    <row r="54" spans="1:9" x14ac:dyDescent="0.25">
      <c r="A54" t="s">
        <v>322</v>
      </c>
      <c r="I54">
        <f t="shared" si="4"/>
        <v>0</v>
      </c>
    </row>
    <row r="55" spans="1:9" x14ac:dyDescent="0.25">
      <c r="A55" t="s">
        <v>323</v>
      </c>
      <c r="I55">
        <f t="shared" si="4"/>
        <v>0</v>
      </c>
    </row>
    <row r="56" spans="1:9" x14ac:dyDescent="0.25">
      <c r="A56" t="s">
        <v>324</v>
      </c>
      <c r="I56">
        <f t="shared" si="4"/>
        <v>0</v>
      </c>
    </row>
    <row r="57" spans="1:9" x14ac:dyDescent="0.25">
      <c r="A57" t="s">
        <v>325</v>
      </c>
      <c r="I57">
        <f t="shared" si="4"/>
        <v>0</v>
      </c>
    </row>
    <row r="58" spans="1:9" ht="15.75" thickBot="1" x14ac:dyDescent="0.3">
      <c r="A58" s="94" t="s">
        <v>335</v>
      </c>
      <c r="B58" s="94"/>
      <c r="C58" s="94"/>
      <c r="D58" s="94"/>
      <c r="E58" s="94">
        <f>SUM(E51:E57)</f>
        <v>0</v>
      </c>
      <c r="F58" s="94">
        <f>SUM(F51:F57)</f>
        <v>0</v>
      </c>
      <c r="G58" s="94">
        <f>SUM(G51:G57)</f>
        <v>0</v>
      </c>
      <c r="H58" s="94">
        <f>SUM(H51:H57)</f>
        <v>0</v>
      </c>
      <c r="I58" s="91">
        <f>SUM(I51:I57)</f>
        <v>0</v>
      </c>
    </row>
    <row r="59" spans="1:9" x14ac:dyDescent="0.25">
      <c r="A59" s="93" t="s">
        <v>326</v>
      </c>
    </row>
    <row r="60" spans="1:9" x14ac:dyDescent="0.25">
      <c r="A60" t="s">
        <v>327</v>
      </c>
      <c r="I60">
        <f t="shared" ref="I60:I66" si="5">SUM(E60:H60)</f>
        <v>0</v>
      </c>
    </row>
    <row r="61" spans="1:9" x14ac:dyDescent="0.25">
      <c r="A61" t="s">
        <v>328</v>
      </c>
      <c r="I61">
        <f t="shared" si="5"/>
        <v>0</v>
      </c>
    </row>
    <row r="62" spans="1:9" x14ac:dyDescent="0.25">
      <c r="A62" t="s">
        <v>329</v>
      </c>
      <c r="I62">
        <f t="shared" si="5"/>
        <v>0</v>
      </c>
    </row>
    <row r="63" spans="1:9" x14ac:dyDescent="0.25">
      <c r="A63" t="s">
        <v>330</v>
      </c>
      <c r="I63">
        <f t="shared" si="5"/>
        <v>0</v>
      </c>
    </row>
    <row r="64" spans="1:9" x14ac:dyDescent="0.25">
      <c r="A64" t="s">
        <v>331</v>
      </c>
      <c r="I64">
        <f t="shared" si="5"/>
        <v>0</v>
      </c>
    </row>
    <row r="65" spans="1:9" x14ac:dyDescent="0.25">
      <c r="A65" t="s">
        <v>332</v>
      </c>
      <c r="I65">
        <f t="shared" si="5"/>
        <v>0</v>
      </c>
    </row>
    <row r="66" spans="1:9" x14ac:dyDescent="0.25">
      <c r="A66" t="s">
        <v>333</v>
      </c>
      <c r="I66">
        <f t="shared" si="5"/>
        <v>0</v>
      </c>
    </row>
    <row r="67" spans="1:9" ht="15.75" thickBot="1" x14ac:dyDescent="0.3">
      <c r="A67" s="94" t="s">
        <v>335</v>
      </c>
      <c r="B67" s="94"/>
      <c r="C67" s="94"/>
      <c r="D67" s="94"/>
      <c r="E67" s="94">
        <f>SUM(E60:E66)</f>
        <v>0</v>
      </c>
      <c r="F67" s="94">
        <f>SUM(F60:F66)</f>
        <v>0</v>
      </c>
      <c r="G67" s="94">
        <f>SUM(G60:G66)</f>
        <v>0</v>
      </c>
      <c r="H67" s="94">
        <f>SUM(H60:H66)</f>
        <v>0</v>
      </c>
      <c r="I67" s="91">
        <f>SUM(I60:I66)</f>
        <v>0</v>
      </c>
    </row>
  </sheetData>
  <pageMargins left="0.7" right="0.7" top="0.75" bottom="0.75" header="0.3" footer="0.3"/>
  <pageSetup paperSize="9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topLeftCell="A31" workbookViewId="0">
      <selection activeCell="D42" sqref="D42"/>
    </sheetView>
  </sheetViews>
  <sheetFormatPr defaultRowHeight="15" x14ac:dyDescent="0.25"/>
  <cols>
    <col min="1" max="1" width="15.140625" customWidth="1"/>
    <col min="2" max="2" width="48" customWidth="1"/>
    <col min="3" max="3" width="11.140625" customWidth="1"/>
    <col min="4" max="4" width="9.42578125" customWidth="1"/>
    <col min="5" max="5" width="15.42578125" customWidth="1"/>
    <col min="6" max="6" width="20.5703125" customWidth="1"/>
    <col min="7" max="7" width="19.85546875" customWidth="1"/>
  </cols>
  <sheetData>
    <row r="1" spans="1:7" x14ac:dyDescent="0.25">
      <c r="A1" t="s">
        <v>336</v>
      </c>
      <c r="B1" t="s">
        <v>337</v>
      </c>
      <c r="C1" t="s">
        <v>339</v>
      </c>
      <c r="D1" t="s">
        <v>89</v>
      </c>
      <c r="E1" t="s">
        <v>338</v>
      </c>
      <c r="F1" t="s">
        <v>87</v>
      </c>
      <c r="G1" t="s">
        <v>80</v>
      </c>
    </row>
    <row r="2" spans="1:7" x14ac:dyDescent="0.25">
      <c r="D2" t="s">
        <v>90</v>
      </c>
    </row>
    <row r="3" spans="1:7" x14ac:dyDescent="0.25">
      <c r="A3" t="s">
        <v>340</v>
      </c>
      <c r="B3" t="s">
        <v>341</v>
      </c>
    </row>
    <row r="4" spans="1:7" x14ac:dyDescent="0.25">
      <c r="B4" t="s">
        <v>345</v>
      </c>
      <c r="C4" t="s">
        <v>342</v>
      </c>
      <c r="D4">
        <v>969</v>
      </c>
      <c r="E4" s="65">
        <v>20000</v>
      </c>
    </row>
    <row r="5" spans="1:7" x14ac:dyDescent="0.25">
      <c r="E5" s="65"/>
    </row>
    <row r="6" spans="1:7" x14ac:dyDescent="0.25">
      <c r="B6" t="s">
        <v>343</v>
      </c>
      <c r="D6">
        <v>950</v>
      </c>
      <c r="E6" s="65"/>
    </row>
    <row r="7" spans="1:7" x14ac:dyDescent="0.25">
      <c r="B7" t="s">
        <v>344</v>
      </c>
      <c r="C7" t="s">
        <v>346</v>
      </c>
      <c r="E7" s="65">
        <v>950000</v>
      </c>
    </row>
    <row r="8" spans="1:7" x14ac:dyDescent="0.25">
      <c r="E8" s="65"/>
    </row>
    <row r="9" spans="1:7" x14ac:dyDescent="0.25">
      <c r="B9" t="s">
        <v>387</v>
      </c>
      <c r="C9" t="s">
        <v>346</v>
      </c>
      <c r="D9">
        <v>969</v>
      </c>
      <c r="E9" s="65">
        <v>210000</v>
      </c>
    </row>
    <row r="10" spans="1:7" x14ac:dyDescent="0.25">
      <c r="B10" t="s">
        <v>388</v>
      </c>
      <c r="E10" s="65"/>
    </row>
    <row r="11" spans="1:7" x14ac:dyDescent="0.25">
      <c r="B11" t="s">
        <v>389</v>
      </c>
      <c r="C11" t="s">
        <v>346</v>
      </c>
      <c r="D11">
        <v>753</v>
      </c>
      <c r="E11" s="65">
        <v>150000</v>
      </c>
    </row>
    <row r="12" spans="1:7" x14ac:dyDescent="0.25">
      <c r="B12" t="s">
        <v>390</v>
      </c>
      <c r="E12" s="65"/>
    </row>
    <row r="13" spans="1:7" x14ac:dyDescent="0.25">
      <c r="B13" t="s">
        <v>391</v>
      </c>
      <c r="D13">
        <v>753</v>
      </c>
      <c r="E13" s="65"/>
    </row>
    <row r="14" spans="1:7" x14ac:dyDescent="0.25">
      <c r="B14" t="s">
        <v>392</v>
      </c>
      <c r="C14" t="s">
        <v>346</v>
      </c>
      <c r="E14" s="65">
        <v>125000</v>
      </c>
    </row>
    <row r="15" spans="1:7" x14ac:dyDescent="0.25">
      <c r="E15" s="65"/>
    </row>
    <row r="16" spans="1:7" x14ac:dyDescent="0.25">
      <c r="E16" s="65"/>
    </row>
    <row r="17" spans="1:5" x14ac:dyDescent="0.25">
      <c r="B17" t="s">
        <v>393</v>
      </c>
      <c r="C17" t="s">
        <v>346</v>
      </c>
      <c r="D17">
        <v>765</v>
      </c>
      <c r="E17" s="65">
        <v>120000</v>
      </c>
    </row>
    <row r="18" spans="1:5" x14ac:dyDescent="0.25">
      <c r="E18" s="65"/>
    </row>
    <row r="19" spans="1:5" x14ac:dyDescent="0.25">
      <c r="B19" t="s">
        <v>349</v>
      </c>
      <c r="C19" t="s">
        <v>347</v>
      </c>
      <c r="D19">
        <v>759</v>
      </c>
      <c r="E19" s="65">
        <v>50000</v>
      </c>
    </row>
    <row r="20" spans="1:5" x14ac:dyDescent="0.25">
      <c r="E20" s="65"/>
    </row>
    <row r="21" spans="1:5" x14ac:dyDescent="0.25">
      <c r="B21" t="s">
        <v>394</v>
      </c>
      <c r="C21" t="s">
        <v>348</v>
      </c>
      <c r="E21" s="65">
        <v>142480</v>
      </c>
    </row>
    <row r="22" spans="1:5" x14ac:dyDescent="0.25">
      <c r="E22" s="65"/>
    </row>
    <row r="23" spans="1:5" x14ac:dyDescent="0.25">
      <c r="B23" t="s">
        <v>395</v>
      </c>
      <c r="C23" t="s">
        <v>346</v>
      </c>
      <c r="D23">
        <v>893</v>
      </c>
      <c r="E23" s="65">
        <v>50000</v>
      </c>
    </row>
    <row r="24" spans="1:5" x14ac:dyDescent="0.25">
      <c r="E24" s="65"/>
    </row>
    <row r="25" spans="1:5" ht="15.75" thickBot="1" x14ac:dyDescent="0.3">
      <c r="A25" s="85"/>
      <c r="B25" s="85" t="s">
        <v>404</v>
      </c>
      <c r="C25" s="85"/>
      <c r="D25" s="85"/>
      <c r="E25" s="140">
        <f>SUM(E4:E24)</f>
        <v>1817480</v>
      </c>
    </row>
    <row r="26" spans="1:5" ht="5.25" customHeight="1" x14ac:dyDescent="0.25">
      <c r="E26" s="65"/>
    </row>
    <row r="27" spans="1:5" x14ac:dyDescent="0.25">
      <c r="A27" t="s">
        <v>350</v>
      </c>
      <c r="B27" t="s">
        <v>353</v>
      </c>
      <c r="E27" s="65"/>
    </row>
    <row r="28" spans="1:5" x14ac:dyDescent="0.25">
      <c r="A28" t="s">
        <v>351</v>
      </c>
      <c r="B28" t="s">
        <v>352</v>
      </c>
      <c r="C28" t="s">
        <v>354</v>
      </c>
      <c r="D28">
        <v>969</v>
      </c>
      <c r="E28" s="65">
        <v>10000</v>
      </c>
    </row>
    <row r="29" spans="1:5" x14ac:dyDescent="0.25">
      <c r="E29" s="65"/>
    </row>
    <row r="30" spans="1:5" x14ac:dyDescent="0.25">
      <c r="B30" t="s">
        <v>356</v>
      </c>
      <c r="C30" t="s">
        <v>355</v>
      </c>
      <c r="D30">
        <v>969</v>
      </c>
      <c r="E30" s="65">
        <v>50000</v>
      </c>
    </row>
    <row r="31" spans="1:5" x14ac:dyDescent="0.25">
      <c r="B31" t="s">
        <v>357</v>
      </c>
      <c r="E31" s="65"/>
    </row>
    <row r="32" spans="1:5" x14ac:dyDescent="0.25">
      <c r="E32" s="65"/>
    </row>
    <row r="33" spans="1:5" x14ac:dyDescent="0.25">
      <c r="B33" t="s">
        <v>358</v>
      </c>
      <c r="E33" s="65"/>
    </row>
    <row r="34" spans="1:5" x14ac:dyDescent="0.25">
      <c r="B34" t="s">
        <v>359</v>
      </c>
      <c r="E34" s="65"/>
    </row>
    <row r="35" spans="1:5" x14ac:dyDescent="0.25">
      <c r="B35" t="s">
        <v>360</v>
      </c>
      <c r="C35" t="s">
        <v>355</v>
      </c>
      <c r="D35">
        <v>878</v>
      </c>
      <c r="E35" s="65">
        <v>400000</v>
      </c>
    </row>
    <row r="36" spans="1:5" x14ac:dyDescent="0.25">
      <c r="E36" s="65"/>
    </row>
    <row r="37" spans="1:5" x14ac:dyDescent="0.25">
      <c r="B37" t="s">
        <v>396</v>
      </c>
      <c r="D37">
        <v>878</v>
      </c>
      <c r="E37" s="138">
        <v>100000</v>
      </c>
    </row>
    <row r="38" spans="1:5" ht="15.75" thickBot="1" x14ac:dyDescent="0.3">
      <c r="A38" s="85"/>
      <c r="B38" s="85" t="s">
        <v>404</v>
      </c>
      <c r="C38" s="85"/>
      <c r="D38" s="85"/>
      <c r="E38" s="140">
        <f>SUM(E28:E37)</f>
        <v>560000</v>
      </c>
    </row>
    <row r="39" spans="1:5" x14ac:dyDescent="0.25">
      <c r="E39" s="138"/>
    </row>
    <row r="40" spans="1:5" x14ac:dyDescent="0.25">
      <c r="A40" t="s">
        <v>361</v>
      </c>
      <c r="B40" t="s">
        <v>397</v>
      </c>
      <c r="D40">
        <v>969</v>
      </c>
      <c r="E40" s="65">
        <v>10000</v>
      </c>
    </row>
    <row r="41" spans="1:5" x14ac:dyDescent="0.25">
      <c r="E41" s="65"/>
    </row>
    <row r="42" spans="1:5" x14ac:dyDescent="0.25">
      <c r="B42" t="s">
        <v>398</v>
      </c>
      <c r="C42" t="s">
        <v>355</v>
      </c>
      <c r="D42" t="s">
        <v>400</v>
      </c>
      <c r="E42" s="65">
        <v>0</v>
      </c>
    </row>
    <row r="43" spans="1:5" x14ac:dyDescent="0.25">
      <c r="B43" t="s">
        <v>399</v>
      </c>
      <c r="E43" s="65"/>
    </row>
    <row r="44" spans="1:5" x14ac:dyDescent="0.25">
      <c r="B44" t="s">
        <v>401</v>
      </c>
      <c r="E44" s="65"/>
    </row>
    <row r="45" spans="1:5" x14ac:dyDescent="0.25">
      <c r="B45" t="s">
        <v>402</v>
      </c>
      <c r="E45" s="65"/>
    </row>
    <row r="46" spans="1:5" x14ac:dyDescent="0.25">
      <c r="B46" t="s">
        <v>364</v>
      </c>
      <c r="D46">
        <v>851</v>
      </c>
      <c r="E46" s="65">
        <v>1060000</v>
      </c>
    </row>
    <row r="47" spans="1:5" x14ac:dyDescent="0.25">
      <c r="E47" s="138"/>
    </row>
    <row r="48" spans="1:5" x14ac:dyDescent="0.25">
      <c r="B48" t="s">
        <v>403</v>
      </c>
      <c r="E48" s="138"/>
    </row>
    <row r="49" spans="1:5" x14ac:dyDescent="0.25">
      <c r="B49" t="s">
        <v>362</v>
      </c>
      <c r="D49">
        <v>969</v>
      </c>
      <c r="E49" s="138">
        <v>125000</v>
      </c>
    </row>
    <row r="50" spans="1:5" x14ac:dyDescent="0.25">
      <c r="E50" s="138"/>
    </row>
    <row r="51" spans="1:5" x14ac:dyDescent="0.25">
      <c r="B51" t="s">
        <v>363</v>
      </c>
      <c r="C51" t="s">
        <v>355</v>
      </c>
      <c r="D51">
        <v>969</v>
      </c>
      <c r="E51" s="65">
        <v>50000.3</v>
      </c>
    </row>
    <row r="52" spans="1:5" x14ac:dyDescent="0.25">
      <c r="E52" s="65"/>
    </row>
    <row r="53" spans="1:5" ht="15.75" thickBot="1" x14ac:dyDescent="0.3">
      <c r="A53" s="85"/>
      <c r="B53" s="85" t="s">
        <v>404</v>
      </c>
      <c r="C53" s="85"/>
      <c r="D53" s="85"/>
      <c r="E53" s="140">
        <f>SUM(E40:E52)</f>
        <v>1245000.3</v>
      </c>
    </row>
    <row r="54" spans="1:5" x14ac:dyDescent="0.25">
      <c r="E54" s="65"/>
    </row>
    <row r="55" spans="1:5" x14ac:dyDescent="0.25">
      <c r="B55" t="s">
        <v>279</v>
      </c>
      <c r="E55" s="65">
        <f>E53+E38+E25</f>
        <v>3622480.3</v>
      </c>
    </row>
    <row r="56" spans="1:5" x14ac:dyDescent="0.25">
      <c r="E56" s="65"/>
    </row>
    <row r="57" spans="1:5" x14ac:dyDescent="0.25">
      <c r="E57" s="65"/>
    </row>
    <row r="58" spans="1:5" x14ac:dyDescent="0.25">
      <c r="E58" s="65"/>
    </row>
    <row r="59" spans="1:5" x14ac:dyDescent="0.25">
      <c r="E59" s="65"/>
    </row>
    <row r="60" spans="1:5" x14ac:dyDescent="0.25">
      <c r="E60" s="65"/>
    </row>
    <row r="61" spans="1:5" x14ac:dyDescent="0.25">
      <c r="E61" s="65"/>
    </row>
    <row r="62" spans="1:5" x14ac:dyDescent="0.25">
      <c r="E62" s="65"/>
    </row>
    <row r="63" spans="1:5" x14ac:dyDescent="0.25">
      <c r="E63" s="65"/>
    </row>
    <row r="64" spans="1:5" ht="15.75" thickBot="1" x14ac:dyDescent="0.3">
      <c r="A64" s="90"/>
      <c r="B64" s="90" t="s">
        <v>56</v>
      </c>
      <c r="C64" s="90"/>
      <c r="D64" s="90"/>
      <c r="E64" s="97">
        <f>SUM(E3:E61)</f>
        <v>10867440.899999999</v>
      </c>
    </row>
    <row r="65" ht="15.75" thickTop="1" x14ac:dyDescent="0.25"/>
  </sheetData>
  <pageMargins left="0.2" right="0.2" top="0.75" bottom="0.75" header="0.3" footer="0.3"/>
  <pageSetup paperSize="9" scale="90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7"/>
  <sheetViews>
    <sheetView topLeftCell="A47" workbookViewId="0">
      <selection activeCell="C59" sqref="C59"/>
    </sheetView>
  </sheetViews>
  <sheetFormatPr defaultRowHeight="15" x14ac:dyDescent="0.25"/>
  <cols>
    <col min="1" max="1" width="3.85546875" customWidth="1"/>
    <col min="2" max="2" width="7.28515625" customWidth="1"/>
    <col min="3" max="3" width="40.42578125" customWidth="1"/>
    <col min="4" max="4" width="14.7109375" customWidth="1"/>
    <col min="5" max="5" width="16" customWidth="1"/>
  </cols>
  <sheetData>
    <row r="1" spans="1:5" ht="18.75" x14ac:dyDescent="0.3">
      <c r="A1" s="349" t="s">
        <v>421</v>
      </c>
      <c r="B1" s="349"/>
      <c r="C1" s="349"/>
      <c r="D1" s="349"/>
      <c r="E1" s="349"/>
    </row>
    <row r="2" spans="1:5" x14ac:dyDescent="0.25">
      <c r="D2" t="s">
        <v>376</v>
      </c>
      <c r="E2" s="141" t="s">
        <v>225</v>
      </c>
    </row>
    <row r="4" spans="1:5" x14ac:dyDescent="0.25">
      <c r="A4">
        <v>1</v>
      </c>
      <c r="B4" t="s">
        <v>405</v>
      </c>
    </row>
    <row r="5" spans="1:5" x14ac:dyDescent="0.25">
      <c r="B5" t="s">
        <v>406</v>
      </c>
      <c r="C5" t="s">
        <v>407</v>
      </c>
      <c r="E5" s="139"/>
    </row>
    <row r="6" spans="1:5" x14ac:dyDescent="0.25">
      <c r="C6" t="s">
        <v>408</v>
      </c>
      <c r="D6">
        <v>761</v>
      </c>
      <c r="E6" s="139">
        <v>100000</v>
      </c>
    </row>
    <row r="7" spans="1:5" x14ac:dyDescent="0.25">
      <c r="E7" s="139"/>
    </row>
    <row r="8" spans="1:5" x14ac:dyDescent="0.25">
      <c r="B8" t="s">
        <v>409</v>
      </c>
      <c r="C8" t="s">
        <v>410</v>
      </c>
      <c r="D8">
        <v>765</v>
      </c>
      <c r="E8" s="139">
        <v>120000</v>
      </c>
    </row>
    <row r="9" spans="1:5" x14ac:dyDescent="0.25">
      <c r="B9" t="s">
        <v>412</v>
      </c>
      <c r="C9" t="s">
        <v>411</v>
      </c>
      <c r="D9">
        <v>969</v>
      </c>
      <c r="E9" s="139">
        <v>100000</v>
      </c>
    </row>
    <row r="10" spans="1:5" x14ac:dyDescent="0.25">
      <c r="B10" t="s">
        <v>413</v>
      </c>
      <c r="C10" t="s">
        <v>414</v>
      </c>
      <c r="D10">
        <v>765</v>
      </c>
      <c r="E10" s="139">
        <v>100000</v>
      </c>
    </row>
    <row r="11" spans="1:5" x14ac:dyDescent="0.25">
      <c r="A11">
        <v>2</v>
      </c>
      <c r="B11" t="s">
        <v>415</v>
      </c>
      <c r="D11">
        <v>753</v>
      </c>
      <c r="E11" s="139">
        <v>60000</v>
      </c>
    </row>
    <row r="12" spans="1:5" x14ac:dyDescent="0.25">
      <c r="A12">
        <v>3</v>
      </c>
      <c r="B12" t="s">
        <v>416</v>
      </c>
      <c r="E12" s="139"/>
    </row>
    <row r="13" spans="1:5" x14ac:dyDescent="0.25">
      <c r="B13" t="s">
        <v>406</v>
      </c>
      <c r="C13" t="s">
        <v>417</v>
      </c>
      <c r="D13">
        <v>969</v>
      </c>
      <c r="E13" s="139">
        <v>100000</v>
      </c>
    </row>
    <row r="14" spans="1:5" x14ac:dyDescent="0.25">
      <c r="B14" t="s">
        <v>409</v>
      </c>
      <c r="C14" t="s">
        <v>418</v>
      </c>
      <c r="E14" s="139"/>
    </row>
    <row r="15" spans="1:5" x14ac:dyDescent="0.25">
      <c r="C15" t="s">
        <v>419</v>
      </c>
      <c r="D15">
        <v>969</v>
      </c>
      <c r="E15" s="139">
        <v>50000</v>
      </c>
    </row>
    <row r="16" spans="1:5" x14ac:dyDescent="0.25">
      <c r="B16" t="s">
        <v>412</v>
      </c>
      <c r="C16" t="s">
        <v>420</v>
      </c>
      <c r="D16">
        <v>751</v>
      </c>
      <c r="E16" s="139">
        <v>55959.06</v>
      </c>
    </row>
    <row r="17" spans="1:5" ht="15.75" thickBot="1" x14ac:dyDescent="0.3">
      <c r="A17" s="85"/>
      <c r="B17" s="85"/>
      <c r="C17" s="85" t="s">
        <v>56</v>
      </c>
      <c r="D17" s="85"/>
      <c r="E17" s="140">
        <f>SUM(E6:E16)</f>
        <v>685959.06</v>
      </c>
    </row>
    <row r="18" spans="1:5" x14ac:dyDescent="0.25">
      <c r="E18" s="139"/>
    </row>
    <row r="51" spans="1:5" ht="18.75" x14ac:dyDescent="0.3">
      <c r="A51" s="349" t="s">
        <v>422</v>
      </c>
      <c r="B51" s="349"/>
      <c r="C51" s="349"/>
      <c r="D51" s="349"/>
      <c r="E51" s="349"/>
    </row>
    <row r="52" spans="1:5" ht="7.5" customHeight="1" x14ac:dyDescent="0.25"/>
    <row r="53" spans="1:5" x14ac:dyDescent="0.25">
      <c r="A53" t="s">
        <v>423</v>
      </c>
    </row>
    <row r="54" spans="1:5" ht="7.5" customHeight="1" x14ac:dyDescent="0.25"/>
    <row r="55" spans="1:5" x14ac:dyDescent="0.25">
      <c r="C55" t="s">
        <v>424</v>
      </c>
      <c r="D55">
        <v>761</v>
      </c>
      <c r="E55" s="142">
        <v>40000</v>
      </c>
    </row>
    <row r="56" spans="1:5" x14ac:dyDescent="0.25">
      <c r="C56" t="s">
        <v>425</v>
      </c>
      <c r="D56">
        <v>765</v>
      </c>
      <c r="E56" s="142">
        <v>60000</v>
      </c>
    </row>
    <row r="57" spans="1:5" x14ac:dyDescent="0.25">
      <c r="C57" t="s">
        <v>426</v>
      </c>
      <c r="D57">
        <v>753</v>
      </c>
      <c r="E57" s="142">
        <v>25000</v>
      </c>
    </row>
    <row r="58" spans="1:5" x14ac:dyDescent="0.25">
      <c r="C58" t="s">
        <v>452</v>
      </c>
      <c r="D58">
        <v>783</v>
      </c>
      <c r="E58" s="142">
        <v>75000</v>
      </c>
    </row>
    <row r="59" spans="1:5" x14ac:dyDescent="0.25">
      <c r="E59" s="142"/>
    </row>
    <row r="60" spans="1:5" x14ac:dyDescent="0.25">
      <c r="C60" t="s">
        <v>56</v>
      </c>
      <c r="E60" s="142">
        <f>SUM(E55:E59)</f>
        <v>200000</v>
      </c>
    </row>
    <row r="62" spans="1:5" ht="18.75" x14ac:dyDescent="0.3">
      <c r="A62" s="349" t="s">
        <v>427</v>
      </c>
      <c r="B62" s="349"/>
      <c r="C62" s="349"/>
      <c r="D62" s="349"/>
      <c r="E62" s="349"/>
    </row>
    <row r="63" spans="1:5" ht="2.25" customHeight="1" x14ac:dyDescent="0.25"/>
    <row r="64" spans="1:5" x14ac:dyDescent="0.25">
      <c r="A64">
        <v>1</v>
      </c>
      <c r="B64" t="s">
        <v>428</v>
      </c>
    </row>
    <row r="65" spans="1:5" x14ac:dyDescent="0.25">
      <c r="B65" t="s">
        <v>429</v>
      </c>
    </row>
    <row r="66" spans="1:5" x14ac:dyDescent="0.25">
      <c r="B66" t="s">
        <v>430</v>
      </c>
      <c r="C66" t="s">
        <v>431</v>
      </c>
      <c r="D66">
        <v>765</v>
      </c>
      <c r="E66" s="142">
        <v>120000</v>
      </c>
    </row>
    <row r="67" spans="1:5" x14ac:dyDescent="0.25">
      <c r="B67" t="s">
        <v>409</v>
      </c>
      <c r="C67" t="s">
        <v>432</v>
      </c>
      <c r="E67" s="142"/>
    </row>
    <row r="68" spans="1:5" x14ac:dyDescent="0.25">
      <c r="C68" t="s">
        <v>433</v>
      </c>
      <c r="D68">
        <v>751</v>
      </c>
      <c r="E68" s="142">
        <v>50000</v>
      </c>
    </row>
    <row r="69" spans="1:5" x14ac:dyDescent="0.25">
      <c r="C69" t="s">
        <v>434</v>
      </c>
      <c r="D69">
        <v>783</v>
      </c>
      <c r="E69" s="142">
        <v>50000</v>
      </c>
    </row>
    <row r="70" spans="1:5" x14ac:dyDescent="0.25">
      <c r="B70" t="s">
        <v>412</v>
      </c>
      <c r="C70" t="s">
        <v>435</v>
      </c>
      <c r="D70">
        <v>250</v>
      </c>
      <c r="E70" s="142">
        <v>80000</v>
      </c>
    </row>
    <row r="71" spans="1:5" x14ac:dyDescent="0.25">
      <c r="C71" t="s">
        <v>436</v>
      </c>
      <c r="E71" s="142"/>
    </row>
    <row r="72" spans="1:5" x14ac:dyDescent="0.25">
      <c r="C72" t="s">
        <v>437</v>
      </c>
      <c r="E72" s="142"/>
    </row>
    <row r="73" spans="1:5" x14ac:dyDescent="0.25">
      <c r="C73" t="s">
        <v>438</v>
      </c>
      <c r="E73" s="142"/>
    </row>
    <row r="74" spans="1:5" ht="4.5" customHeight="1" x14ac:dyDescent="0.25">
      <c r="E74" s="142"/>
    </row>
    <row r="75" spans="1:5" x14ac:dyDescent="0.25">
      <c r="A75" s="96"/>
      <c r="B75" s="96"/>
      <c r="C75" s="96" t="s">
        <v>56</v>
      </c>
      <c r="D75" s="96"/>
      <c r="E75" s="143">
        <f>SUM(E66:E73)</f>
        <v>300000</v>
      </c>
    </row>
    <row r="77" spans="1:5" ht="0.75" customHeight="1" x14ac:dyDescent="0.25"/>
    <row r="78" spans="1:5" ht="18.75" x14ac:dyDescent="0.3">
      <c r="A78" s="349" t="s">
        <v>439</v>
      </c>
      <c r="B78" s="349"/>
      <c r="C78" s="349"/>
      <c r="D78" s="349"/>
      <c r="E78" s="349"/>
    </row>
    <row r="79" spans="1:5" ht="4.5" customHeight="1" x14ac:dyDescent="0.25"/>
    <row r="80" spans="1:5" x14ac:dyDescent="0.25">
      <c r="B80" t="s">
        <v>440</v>
      </c>
    </row>
    <row r="81" spans="1:5" ht="2.25" customHeight="1" x14ac:dyDescent="0.25"/>
    <row r="82" spans="1:5" x14ac:dyDescent="0.25">
      <c r="C82" t="s">
        <v>434</v>
      </c>
      <c r="E82" s="142">
        <v>75000</v>
      </c>
    </row>
    <row r="83" spans="1:5" x14ac:dyDescent="0.25">
      <c r="C83" t="s">
        <v>431</v>
      </c>
      <c r="D83">
        <v>765</v>
      </c>
      <c r="E83" s="142">
        <v>75000</v>
      </c>
    </row>
    <row r="84" spans="1:5" x14ac:dyDescent="0.25">
      <c r="C84" t="s">
        <v>441</v>
      </c>
      <c r="D84">
        <v>765</v>
      </c>
      <c r="E84" s="142">
        <v>150000</v>
      </c>
    </row>
    <row r="85" spans="1:5" x14ac:dyDescent="0.25">
      <c r="E85" s="142"/>
    </row>
    <row r="86" spans="1:5" x14ac:dyDescent="0.25">
      <c r="A86" s="96"/>
      <c r="B86" s="96"/>
      <c r="C86" s="96" t="s">
        <v>56</v>
      </c>
      <c r="D86" s="96"/>
      <c r="E86" s="143">
        <f>SUM(E82:E85)</f>
        <v>300000</v>
      </c>
    </row>
    <row r="88" spans="1:5" ht="18.75" x14ac:dyDescent="0.3">
      <c r="A88" s="349" t="s">
        <v>442</v>
      </c>
      <c r="B88" s="349"/>
      <c r="C88" s="349"/>
      <c r="D88" s="349"/>
      <c r="E88" s="349"/>
    </row>
    <row r="90" spans="1:5" x14ac:dyDescent="0.25">
      <c r="C90" t="s">
        <v>443</v>
      </c>
      <c r="D90">
        <v>761</v>
      </c>
      <c r="E90" s="142">
        <v>10000</v>
      </c>
    </row>
    <row r="91" spans="1:5" x14ac:dyDescent="0.25">
      <c r="C91" t="s">
        <v>431</v>
      </c>
      <c r="D91">
        <v>765</v>
      </c>
      <c r="E91" s="142">
        <v>50000</v>
      </c>
    </row>
    <row r="92" spans="1:5" x14ac:dyDescent="0.25">
      <c r="C92" t="s">
        <v>445</v>
      </c>
      <c r="D92">
        <v>753</v>
      </c>
      <c r="E92" s="142">
        <v>10000</v>
      </c>
    </row>
    <row r="93" spans="1:5" x14ac:dyDescent="0.25">
      <c r="C93" t="s">
        <v>434</v>
      </c>
      <c r="D93">
        <v>783</v>
      </c>
      <c r="E93" s="142">
        <v>25000</v>
      </c>
    </row>
    <row r="94" spans="1:5" x14ac:dyDescent="0.25">
      <c r="C94" t="s">
        <v>444</v>
      </c>
      <c r="D94">
        <v>783</v>
      </c>
      <c r="E94" s="142">
        <v>50000</v>
      </c>
    </row>
    <row r="95" spans="1:5" ht="4.5" customHeight="1" x14ac:dyDescent="0.25">
      <c r="E95" s="142"/>
    </row>
    <row r="96" spans="1:5" x14ac:dyDescent="0.25">
      <c r="B96" s="96"/>
      <c r="C96" s="96" t="s">
        <v>56</v>
      </c>
      <c r="D96" s="96"/>
      <c r="E96" s="143">
        <f>SUM(E90:E95)</f>
        <v>145000</v>
      </c>
    </row>
    <row r="98" spans="1:5" ht="18.75" x14ac:dyDescent="0.3">
      <c r="A98" s="349" t="s">
        <v>446</v>
      </c>
      <c r="B98" s="349"/>
      <c r="C98" s="349"/>
      <c r="D98" s="349"/>
      <c r="E98" s="349"/>
    </row>
    <row r="99" spans="1:5" x14ac:dyDescent="0.25">
      <c r="C99" t="s">
        <v>443</v>
      </c>
      <c r="D99">
        <v>761</v>
      </c>
      <c r="E99" s="142">
        <v>10000</v>
      </c>
    </row>
    <row r="100" spans="1:5" x14ac:dyDescent="0.25">
      <c r="C100" t="s">
        <v>431</v>
      </c>
      <c r="D100">
        <v>765</v>
      </c>
      <c r="E100" s="142">
        <v>50000</v>
      </c>
    </row>
    <row r="101" spans="1:5" x14ac:dyDescent="0.25">
      <c r="C101" t="s">
        <v>445</v>
      </c>
      <c r="D101">
        <v>753</v>
      </c>
      <c r="E101" s="142">
        <v>10000</v>
      </c>
    </row>
    <row r="102" spans="1:5" x14ac:dyDescent="0.25">
      <c r="C102" t="s">
        <v>434</v>
      </c>
      <c r="D102">
        <v>783</v>
      </c>
      <c r="E102" s="142">
        <v>25000</v>
      </c>
    </row>
    <row r="103" spans="1:5" x14ac:dyDescent="0.25">
      <c r="C103" t="s">
        <v>444</v>
      </c>
      <c r="D103">
        <v>783</v>
      </c>
      <c r="E103" s="142">
        <v>50000</v>
      </c>
    </row>
    <row r="104" spans="1:5" x14ac:dyDescent="0.25">
      <c r="E104" s="142"/>
    </row>
    <row r="105" spans="1:5" x14ac:dyDescent="0.25">
      <c r="C105" s="96" t="s">
        <v>56</v>
      </c>
      <c r="D105" s="96"/>
      <c r="E105" s="143">
        <f>SUM(E99:E104)</f>
        <v>145000</v>
      </c>
    </row>
    <row r="107" spans="1:5" ht="18.75" x14ac:dyDescent="0.3">
      <c r="A107" s="349" t="s">
        <v>447</v>
      </c>
      <c r="B107" s="349"/>
      <c r="C107" s="349"/>
      <c r="D107" s="349"/>
      <c r="E107" s="349"/>
    </row>
    <row r="109" spans="1:5" x14ac:dyDescent="0.25">
      <c r="C109" t="s">
        <v>448</v>
      </c>
      <c r="D109">
        <v>841</v>
      </c>
      <c r="E109" s="142">
        <v>10000</v>
      </c>
    </row>
    <row r="110" spans="1:5" x14ac:dyDescent="0.25">
      <c r="C110" t="s">
        <v>443</v>
      </c>
      <c r="E110" s="142"/>
    </row>
    <row r="111" spans="1:5" x14ac:dyDescent="0.25">
      <c r="C111" t="s">
        <v>449</v>
      </c>
      <c r="D111">
        <v>969</v>
      </c>
      <c r="E111" s="142">
        <v>80000</v>
      </c>
    </row>
    <row r="112" spans="1:5" x14ac:dyDescent="0.25">
      <c r="C112" t="s">
        <v>450</v>
      </c>
      <c r="D112">
        <v>250</v>
      </c>
      <c r="E112" s="142">
        <v>15000</v>
      </c>
    </row>
    <row r="113" spans="1:5" x14ac:dyDescent="0.25">
      <c r="C113" t="s">
        <v>431</v>
      </c>
      <c r="D113">
        <v>765</v>
      </c>
      <c r="E113" s="142">
        <v>10000</v>
      </c>
    </row>
    <row r="114" spans="1:5" x14ac:dyDescent="0.25">
      <c r="C114" t="s">
        <v>433</v>
      </c>
      <c r="D114">
        <v>751</v>
      </c>
      <c r="E114" s="142">
        <v>15000</v>
      </c>
    </row>
    <row r="115" spans="1:5" x14ac:dyDescent="0.25">
      <c r="C115" t="s">
        <v>451</v>
      </c>
      <c r="D115">
        <v>773</v>
      </c>
      <c r="E115" s="142">
        <v>20000</v>
      </c>
    </row>
    <row r="117" spans="1:5" x14ac:dyDescent="0.25">
      <c r="A117" s="96"/>
      <c r="B117" s="96"/>
      <c r="C117" s="96" t="s">
        <v>56</v>
      </c>
      <c r="D117" s="96"/>
      <c r="E117" s="144">
        <f>SUM(E109:E116)</f>
        <v>150000</v>
      </c>
    </row>
  </sheetData>
  <mergeCells count="7">
    <mergeCell ref="A107:E107"/>
    <mergeCell ref="A1:E1"/>
    <mergeCell ref="A51:E51"/>
    <mergeCell ref="A62:E62"/>
    <mergeCell ref="A78:E78"/>
    <mergeCell ref="A88:E88"/>
    <mergeCell ref="A98:E98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>
      <selection activeCell="B15" sqref="B15"/>
    </sheetView>
  </sheetViews>
  <sheetFormatPr defaultRowHeight="15" x14ac:dyDescent="0.25"/>
  <cols>
    <col min="1" max="1" width="24" customWidth="1"/>
    <col min="2" max="2" width="60.85546875" customWidth="1"/>
    <col min="3" max="6" width="18.5703125" customWidth="1"/>
  </cols>
  <sheetData>
    <row r="1" spans="1:5" x14ac:dyDescent="0.25">
      <c r="C1" t="s">
        <v>371</v>
      </c>
      <c r="D1" t="s">
        <v>372</v>
      </c>
      <c r="E1" t="s">
        <v>373</v>
      </c>
    </row>
    <row r="2" spans="1:5" x14ac:dyDescent="0.25">
      <c r="A2" t="s">
        <v>240</v>
      </c>
      <c r="B2" t="s">
        <v>374</v>
      </c>
      <c r="C2">
        <v>589158</v>
      </c>
    </row>
    <row r="3" spans="1:5" x14ac:dyDescent="0.25">
      <c r="C3">
        <v>497925</v>
      </c>
    </row>
    <row r="4" spans="1:5" x14ac:dyDescent="0.25">
      <c r="E4">
        <v>3980569.86</v>
      </c>
    </row>
    <row r="5" spans="1:5" x14ac:dyDescent="0.25">
      <c r="C5">
        <v>78982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956"/>
  <sheetViews>
    <sheetView tabSelected="1" zoomScale="75" zoomScaleNormal="75" workbookViewId="0">
      <selection activeCell="K215" sqref="K215"/>
    </sheetView>
  </sheetViews>
  <sheetFormatPr defaultRowHeight="15" x14ac:dyDescent="0.25"/>
  <cols>
    <col min="1" max="1" width="46.42578125" customWidth="1"/>
    <col min="2" max="2" width="14.7109375" customWidth="1"/>
    <col min="3" max="3" width="16.28515625" customWidth="1"/>
    <col min="4" max="4" width="15.42578125" customWidth="1"/>
    <col min="5" max="5" width="16.42578125" customWidth="1"/>
    <col min="6" max="6" width="15.85546875" customWidth="1"/>
    <col min="7" max="7" width="17" customWidth="1"/>
  </cols>
  <sheetData>
    <row r="1" spans="1:7" ht="16.5" x14ac:dyDescent="0.25">
      <c r="A1" s="248" t="s">
        <v>674</v>
      </c>
      <c r="B1" s="249"/>
      <c r="C1" s="249"/>
      <c r="D1" s="249"/>
      <c r="E1" s="249"/>
      <c r="F1" s="249" t="s">
        <v>655</v>
      </c>
      <c r="G1" s="250" t="s">
        <v>675</v>
      </c>
    </row>
    <row r="2" spans="1:7" ht="18" x14ac:dyDescent="0.25">
      <c r="A2" s="350" t="s">
        <v>676</v>
      </c>
      <c r="B2" s="350"/>
      <c r="C2" s="350"/>
      <c r="D2" s="350"/>
      <c r="E2" s="350"/>
      <c r="F2" s="350"/>
      <c r="G2" s="350"/>
    </row>
    <row r="3" spans="1:7" ht="18" x14ac:dyDescent="0.25">
      <c r="A3" s="251"/>
      <c r="B3" s="251"/>
      <c r="C3" s="251"/>
      <c r="D3" s="251"/>
      <c r="E3" s="251"/>
      <c r="F3" s="251"/>
      <c r="G3" s="251"/>
    </row>
    <row r="4" spans="1:7" ht="15.75" x14ac:dyDescent="0.25">
      <c r="A4" s="252" t="s">
        <v>677</v>
      </c>
      <c r="B4" s="253"/>
      <c r="C4" s="253"/>
      <c r="D4" s="253"/>
      <c r="E4" s="253"/>
      <c r="F4" s="253" t="s">
        <v>655</v>
      </c>
      <c r="G4" s="253" t="s">
        <v>655</v>
      </c>
    </row>
    <row r="5" spans="1:7" ht="15.75" x14ac:dyDescent="0.25">
      <c r="A5" s="252"/>
      <c r="B5" s="253"/>
      <c r="C5" s="253"/>
      <c r="D5" s="253"/>
      <c r="E5" s="253"/>
      <c r="F5" s="253"/>
      <c r="G5" s="253"/>
    </row>
    <row r="6" spans="1:7" ht="15.75" x14ac:dyDescent="0.25">
      <c r="A6" s="351" t="s">
        <v>678</v>
      </c>
      <c r="B6" s="254" t="s">
        <v>679</v>
      </c>
      <c r="C6" s="254" t="s">
        <v>680</v>
      </c>
      <c r="D6" s="353" t="s">
        <v>681</v>
      </c>
      <c r="E6" s="354"/>
      <c r="F6" s="355"/>
      <c r="G6" s="254" t="s">
        <v>682</v>
      </c>
    </row>
    <row r="7" spans="1:7" ht="15.75" x14ac:dyDescent="0.25">
      <c r="A7" s="352"/>
      <c r="B7" s="255" t="s">
        <v>683</v>
      </c>
      <c r="C7" s="255" t="s">
        <v>684</v>
      </c>
      <c r="D7" s="255" t="s">
        <v>92</v>
      </c>
      <c r="E7" s="255" t="s">
        <v>93</v>
      </c>
      <c r="F7" s="356" t="s">
        <v>25</v>
      </c>
      <c r="G7" s="255" t="s">
        <v>454</v>
      </c>
    </row>
    <row r="8" spans="1:7" ht="15.75" x14ac:dyDescent="0.25">
      <c r="A8" s="352"/>
      <c r="B8" s="255"/>
      <c r="C8" s="255"/>
      <c r="D8" s="256" t="s">
        <v>684</v>
      </c>
      <c r="E8" s="256" t="s">
        <v>685</v>
      </c>
      <c r="F8" s="357"/>
      <c r="G8" s="255"/>
    </row>
    <row r="9" spans="1:7" ht="15.75" x14ac:dyDescent="0.25">
      <c r="A9" s="257" t="s">
        <v>686</v>
      </c>
      <c r="B9" s="258" t="s">
        <v>687</v>
      </c>
      <c r="C9" s="258" t="s">
        <v>688</v>
      </c>
      <c r="D9" s="259" t="s">
        <v>689</v>
      </c>
      <c r="E9" s="258" t="s">
        <v>690</v>
      </c>
      <c r="F9" s="258" t="s">
        <v>691</v>
      </c>
      <c r="G9" s="258" t="s">
        <v>692</v>
      </c>
    </row>
    <row r="10" spans="1:7" ht="15.75" x14ac:dyDescent="0.25">
      <c r="A10" s="260" t="s">
        <v>693</v>
      </c>
      <c r="B10" s="261"/>
      <c r="C10" s="261"/>
      <c r="D10" s="261"/>
      <c r="E10" s="261"/>
      <c r="F10" s="261"/>
      <c r="G10" s="261"/>
    </row>
    <row r="11" spans="1:7" ht="15.75" x14ac:dyDescent="0.25">
      <c r="A11" s="262" t="s">
        <v>694</v>
      </c>
      <c r="B11" s="263" t="s">
        <v>655</v>
      </c>
      <c r="C11" s="263"/>
      <c r="D11" s="263"/>
      <c r="E11" s="263"/>
      <c r="F11" s="263"/>
      <c r="G11" s="263"/>
    </row>
    <row r="12" spans="1:7" ht="15.75" x14ac:dyDescent="0.25">
      <c r="A12" s="262" t="s">
        <v>695</v>
      </c>
      <c r="B12" s="264" t="s">
        <v>505</v>
      </c>
      <c r="C12" s="48">
        <v>3331696.76</v>
      </c>
      <c r="D12" s="48">
        <v>1808964</v>
      </c>
      <c r="E12" s="48">
        <v>1805862</v>
      </c>
      <c r="F12" s="48">
        <f>SUM(D12:E12)</f>
        <v>3614826</v>
      </c>
      <c r="G12" s="48">
        <v>4209324</v>
      </c>
    </row>
    <row r="13" spans="1:7" ht="15.75" x14ac:dyDescent="0.25">
      <c r="A13" s="262" t="s">
        <v>696</v>
      </c>
      <c r="B13" s="264" t="s">
        <v>521</v>
      </c>
      <c r="C13" s="48">
        <v>390466.41</v>
      </c>
      <c r="D13" s="48">
        <v>217075.68</v>
      </c>
      <c r="E13" s="48">
        <v>216703.44</v>
      </c>
      <c r="F13" s="48">
        <f t="shared" ref="F13:F33" si="0">SUM(D13:E13)</f>
        <v>433779.12</v>
      </c>
      <c r="G13" s="48">
        <v>505118.88</v>
      </c>
    </row>
    <row r="14" spans="1:7" ht="15.75" x14ac:dyDescent="0.25">
      <c r="A14" s="262" t="s">
        <v>697</v>
      </c>
      <c r="B14" s="264" t="s">
        <v>527</v>
      </c>
      <c r="C14" s="48">
        <v>160429.6</v>
      </c>
      <c r="D14" s="48">
        <v>48593.36</v>
      </c>
      <c r="E14" s="48">
        <v>29937.95</v>
      </c>
      <c r="F14" s="48">
        <f t="shared" si="0"/>
        <v>78531.31</v>
      </c>
      <c r="G14" s="48">
        <v>507146.72</v>
      </c>
    </row>
    <row r="15" spans="1:7" ht="15.75" x14ac:dyDescent="0.25">
      <c r="A15" s="262" t="s">
        <v>698</v>
      </c>
      <c r="B15" s="264" t="s">
        <v>508</v>
      </c>
      <c r="C15" s="48">
        <v>564000</v>
      </c>
      <c r="D15" s="48">
        <v>300000</v>
      </c>
      <c r="E15" s="48">
        <v>300000</v>
      </c>
      <c r="F15" s="48">
        <f t="shared" si="0"/>
        <v>600000</v>
      </c>
      <c r="G15" s="48">
        <v>648000</v>
      </c>
    </row>
    <row r="16" spans="1:7" ht="15.75" x14ac:dyDescent="0.25">
      <c r="A16" s="262" t="s">
        <v>699</v>
      </c>
      <c r="B16" s="264" t="s">
        <v>664</v>
      </c>
      <c r="C16" s="48">
        <v>105000</v>
      </c>
      <c r="D16" s="48">
        <v>0</v>
      </c>
      <c r="E16" s="48">
        <v>0</v>
      </c>
      <c r="F16" s="48">
        <f t="shared" si="0"/>
        <v>0</v>
      </c>
      <c r="G16" s="48">
        <v>0</v>
      </c>
    </row>
    <row r="17" spans="1:7" ht="15.75" x14ac:dyDescent="0.25">
      <c r="A17" s="262" t="s">
        <v>700</v>
      </c>
      <c r="B17" s="264" t="s">
        <v>522</v>
      </c>
      <c r="C17" s="48">
        <v>65077.74</v>
      </c>
      <c r="D17" s="48">
        <v>36179.279999999999</v>
      </c>
      <c r="E17" s="48">
        <v>36117.24</v>
      </c>
      <c r="F17" s="48">
        <f t="shared" si="0"/>
        <v>72296.51999999999</v>
      </c>
      <c r="G17" s="48">
        <v>84186.48</v>
      </c>
    </row>
    <row r="18" spans="1:7" ht="15.75" x14ac:dyDescent="0.25">
      <c r="A18" s="262" t="s">
        <v>701</v>
      </c>
      <c r="B18" s="264" t="s">
        <v>523</v>
      </c>
      <c r="C18" s="48">
        <v>39000</v>
      </c>
      <c r="D18" s="48">
        <v>20850</v>
      </c>
      <c r="E18" s="48">
        <v>23700</v>
      </c>
      <c r="F18" s="48">
        <f t="shared" si="0"/>
        <v>44550</v>
      </c>
      <c r="G18" s="48">
        <v>46800</v>
      </c>
    </row>
    <row r="19" spans="1:7" ht="15.75" x14ac:dyDescent="0.25">
      <c r="A19" s="262" t="s">
        <v>702</v>
      </c>
      <c r="B19" s="264" t="s">
        <v>524</v>
      </c>
      <c r="C19" s="48">
        <v>23950.14</v>
      </c>
      <c r="D19" s="48">
        <v>13036.44</v>
      </c>
      <c r="E19" s="48">
        <v>22993.42</v>
      </c>
      <c r="F19" s="48">
        <f t="shared" si="0"/>
        <v>36029.86</v>
      </c>
      <c r="G19" s="48">
        <v>42093.24</v>
      </c>
    </row>
    <row r="20" spans="1:7" ht="15.75" x14ac:dyDescent="0.25">
      <c r="A20" s="262" t="s">
        <v>703</v>
      </c>
      <c r="B20" s="264" t="s">
        <v>704</v>
      </c>
      <c r="C20" s="48">
        <v>0</v>
      </c>
      <c r="D20" s="48">
        <v>301494</v>
      </c>
      <c r="E20" s="48">
        <v>-8</v>
      </c>
      <c r="F20" s="48">
        <f t="shared" si="0"/>
        <v>301486</v>
      </c>
      <c r="G20" s="48">
        <v>350777</v>
      </c>
    </row>
    <row r="21" spans="1:7" ht="15.75" x14ac:dyDescent="0.25">
      <c r="A21" s="262" t="s">
        <v>705</v>
      </c>
      <c r="B21" s="264" t="s">
        <v>704</v>
      </c>
      <c r="C21" s="48">
        <v>282662</v>
      </c>
      <c r="D21" s="48">
        <v>39295.9</v>
      </c>
      <c r="E21" s="48">
        <v>262198.09999999998</v>
      </c>
      <c r="F21" s="48">
        <f t="shared" si="0"/>
        <v>301494</v>
      </c>
      <c r="G21" s="48">
        <v>350777</v>
      </c>
    </row>
    <row r="22" spans="1:7" ht="15.75" x14ac:dyDescent="0.25">
      <c r="A22" s="262" t="s">
        <v>706</v>
      </c>
      <c r="B22" s="264" t="s">
        <v>707</v>
      </c>
      <c r="C22" s="48">
        <v>125000</v>
      </c>
      <c r="D22" s="48">
        <v>63500</v>
      </c>
      <c r="E22" s="48">
        <v>61500</v>
      </c>
      <c r="F22" s="48">
        <f t="shared" si="0"/>
        <v>125000</v>
      </c>
      <c r="G22" s="48">
        <v>135000</v>
      </c>
    </row>
    <row r="23" spans="1:7" ht="15.75" x14ac:dyDescent="0.25">
      <c r="A23" s="262" t="s">
        <v>708</v>
      </c>
      <c r="B23" s="264" t="s">
        <v>709</v>
      </c>
      <c r="C23" s="48">
        <v>81000</v>
      </c>
      <c r="D23" s="48">
        <v>40500</v>
      </c>
      <c r="E23" s="48">
        <v>40500</v>
      </c>
      <c r="F23" s="48">
        <f t="shared" si="0"/>
        <v>81000</v>
      </c>
      <c r="G23" s="48">
        <v>81000</v>
      </c>
    </row>
    <row r="24" spans="1:7" ht="15.75" x14ac:dyDescent="0.25">
      <c r="A24" s="262" t="s">
        <v>710</v>
      </c>
      <c r="B24" s="264" t="s">
        <v>510</v>
      </c>
      <c r="C24" s="48">
        <v>81000</v>
      </c>
      <c r="D24" s="48">
        <v>40500</v>
      </c>
      <c r="E24" s="48">
        <v>40500</v>
      </c>
      <c r="F24" s="48">
        <f t="shared" si="0"/>
        <v>81000</v>
      </c>
      <c r="G24" s="48">
        <v>81000</v>
      </c>
    </row>
    <row r="25" spans="1:7" ht="15.75" x14ac:dyDescent="0.25">
      <c r="A25" s="262" t="s">
        <v>711</v>
      </c>
      <c r="B25" s="264" t="s">
        <v>712</v>
      </c>
      <c r="C25" s="48">
        <v>110000</v>
      </c>
      <c r="D25" s="48">
        <v>125000</v>
      </c>
      <c r="E25" s="48">
        <v>0</v>
      </c>
      <c r="F25" s="48">
        <f t="shared" si="0"/>
        <v>125000</v>
      </c>
      <c r="G25" s="48">
        <v>135000</v>
      </c>
    </row>
    <row r="26" spans="1:7" ht="15.75" x14ac:dyDescent="0.25">
      <c r="A26" s="262" t="s">
        <v>713</v>
      </c>
      <c r="B26" s="264" t="s">
        <v>517</v>
      </c>
      <c r="C26" s="48">
        <v>20000</v>
      </c>
      <c r="D26" s="48">
        <v>10000</v>
      </c>
      <c r="E26" s="48">
        <v>10000</v>
      </c>
      <c r="F26" s="48">
        <f t="shared" si="0"/>
        <v>20000</v>
      </c>
      <c r="G26" s="48">
        <v>40000</v>
      </c>
    </row>
    <row r="27" spans="1:7" ht="15.75" x14ac:dyDescent="0.25">
      <c r="A27" s="262" t="s">
        <v>714</v>
      </c>
      <c r="B27" s="264" t="s">
        <v>513</v>
      </c>
      <c r="C27" s="48">
        <v>14400</v>
      </c>
      <c r="D27" s="48">
        <v>7200</v>
      </c>
      <c r="E27" s="48">
        <v>7200</v>
      </c>
      <c r="F27" s="48">
        <f t="shared" si="0"/>
        <v>14400</v>
      </c>
      <c r="G27" s="48">
        <v>14400</v>
      </c>
    </row>
    <row r="28" spans="1:7" ht="15.75" x14ac:dyDescent="0.25">
      <c r="A28" s="262" t="s">
        <v>715</v>
      </c>
      <c r="B28" s="264" t="s">
        <v>566</v>
      </c>
      <c r="C28" s="48">
        <v>1800</v>
      </c>
      <c r="D28" s="48">
        <v>900</v>
      </c>
      <c r="E28" s="48">
        <v>900</v>
      </c>
      <c r="F28" s="48">
        <f t="shared" si="0"/>
        <v>1800</v>
      </c>
      <c r="G28" s="48">
        <v>1800</v>
      </c>
    </row>
    <row r="29" spans="1:7" ht="15.75" x14ac:dyDescent="0.25">
      <c r="A29" s="262" t="s">
        <v>716</v>
      </c>
      <c r="B29" s="264" t="s">
        <v>516</v>
      </c>
      <c r="C29" s="48">
        <v>35760</v>
      </c>
      <c r="D29" s="48">
        <v>17880</v>
      </c>
      <c r="E29" s="48">
        <v>17880</v>
      </c>
      <c r="F29" s="48">
        <f t="shared" si="0"/>
        <v>35760</v>
      </c>
      <c r="G29" s="48">
        <v>35760</v>
      </c>
    </row>
    <row r="30" spans="1:7" ht="15.75" x14ac:dyDescent="0.25">
      <c r="A30" s="262" t="s">
        <v>717</v>
      </c>
      <c r="B30" s="264" t="s">
        <v>527</v>
      </c>
      <c r="C30" s="48">
        <v>69971.600000000006</v>
      </c>
      <c r="D30" s="48">
        <v>0</v>
      </c>
      <c r="E30" s="48">
        <v>125000</v>
      </c>
      <c r="F30" s="48">
        <f t="shared" si="0"/>
        <v>125000</v>
      </c>
      <c r="G30" s="48">
        <v>0</v>
      </c>
    </row>
    <row r="31" spans="1:7" ht="15.75" x14ac:dyDescent="0.25">
      <c r="A31" s="262" t="s">
        <v>718</v>
      </c>
      <c r="B31" s="264" t="s">
        <v>719</v>
      </c>
      <c r="C31" s="48">
        <v>0</v>
      </c>
      <c r="D31" s="48">
        <v>0</v>
      </c>
      <c r="E31" s="48">
        <v>1140178.32</v>
      </c>
      <c r="F31" s="48">
        <f t="shared" si="0"/>
        <v>1140178.32</v>
      </c>
      <c r="G31" s="48">
        <v>0</v>
      </c>
    </row>
    <row r="32" spans="1:7" ht="15.75" x14ac:dyDescent="0.25">
      <c r="A32" s="262" t="s">
        <v>720</v>
      </c>
      <c r="B32" s="264" t="s">
        <v>527</v>
      </c>
      <c r="C32" s="48">
        <v>0</v>
      </c>
      <c r="D32" s="48">
        <v>48000</v>
      </c>
      <c r="E32" s="48">
        <v>0</v>
      </c>
      <c r="F32" s="48">
        <f t="shared" si="0"/>
        <v>48000</v>
      </c>
      <c r="G32" s="48">
        <v>0</v>
      </c>
    </row>
    <row r="33" spans="1:7" ht="15.75" x14ac:dyDescent="0.25">
      <c r="A33" s="262" t="s">
        <v>721</v>
      </c>
      <c r="B33" s="264" t="s">
        <v>527</v>
      </c>
      <c r="C33" s="48">
        <v>259725</v>
      </c>
      <c r="D33" s="48">
        <v>0</v>
      </c>
      <c r="E33" s="48">
        <v>125000</v>
      </c>
      <c r="F33" s="48">
        <f t="shared" si="0"/>
        <v>125000</v>
      </c>
      <c r="G33" s="48">
        <v>135000</v>
      </c>
    </row>
    <row r="34" spans="1:7" ht="15.75" x14ac:dyDescent="0.25">
      <c r="A34" s="265" t="s">
        <v>722</v>
      </c>
      <c r="B34" s="266"/>
      <c r="C34" s="267">
        <f>SUM(C12:C33)</f>
        <v>5760939.2499999991</v>
      </c>
      <c r="D34" s="267">
        <f>SUM(D12:D33)</f>
        <v>3138968.6599999997</v>
      </c>
      <c r="E34" s="267">
        <f>SUM(E12:E33)</f>
        <v>4266162.47</v>
      </c>
      <c r="F34" s="267">
        <f>SUM(F12:F33)</f>
        <v>7405131.1299999999</v>
      </c>
      <c r="G34" s="267">
        <f>SUM(G12:G33)</f>
        <v>7403183.3200000003</v>
      </c>
    </row>
    <row r="35" spans="1:7" ht="15.75" x14ac:dyDescent="0.25">
      <c r="A35" s="252"/>
      <c r="B35" s="253"/>
      <c r="C35" s="253"/>
      <c r="D35" s="253"/>
      <c r="E35" s="253"/>
      <c r="F35" s="253"/>
      <c r="G35" s="253"/>
    </row>
    <row r="36" spans="1:7" ht="15.75" x14ac:dyDescent="0.25">
      <c r="A36" s="252"/>
      <c r="B36" s="253"/>
      <c r="C36" s="253"/>
      <c r="D36" s="253"/>
      <c r="E36" s="253"/>
      <c r="F36" s="253"/>
      <c r="G36" s="253"/>
    </row>
    <row r="37" spans="1:7" ht="16.5" x14ac:dyDescent="0.25">
      <c r="A37" s="248" t="s">
        <v>674</v>
      </c>
      <c r="B37" s="249"/>
      <c r="C37" s="249"/>
      <c r="D37" s="249"/>
      <c r="E37" s="249"/>
      <c r="F37" s="249" t="s">
        <v>655</v>
      </c>
      <c r="G37" s="250" t="s">
        <v>675</v>
      </c>
    </row>
    <row r="38" spans="1:7" ht="16.5" x14ac:dyDescent="0.25">
      <c r="A38" s="358" t="s">
        <v>676</v>
      </c>
      <c r="B38" s="358"/>
      <c r="C38" s="358"/>
      <c r="D38" s="358"/>
      <c r="E38" s="358"/>
      <c r="F38" s="358"/>
      <c r="G38" s="358"/>
    </row>
    <row r="39" spans="1:7" ht="16.5" x14ac:dyDescent="0.25">
      <c r="A39" s="270"/>
      <c r="B39" s="270"/>
      <c r="C39" s="270"/>
      <c r="D39" s="270"/>
      <c r="E39" s="270"/>
      <c r="F39" s="270"/>
      <c r="G39" s="270"/>
    </row>
    <row r="40" spans="1:7" ht="15.75" x14ac:dyDescent="0.25">
      <c r="A40" s="252" t="s">
        <v>677</v>
      </c>
      <c r="B40" s="253"/>
      <c r="C40" s="253"/>
      <c r="D40" s="253"/>
      <c r="E40" s="253"/>
      <c r="F40" s="253" t="s">
        <v>655</v>
      </c>
      <c r="G40" s="253" t="s">
        <v>655</v>
      </c>
    </row>
    <row r="41" spans="1:7" ht="15.75" x14ac:dyDescent="0.25">
      <c r="A41" s="252"/>
      <c r="B41" s="253"/>
      <c r="C41" s="253"/>
      <c r="D41" s="253"/>
      <c r="E41" s="253"/>
      <c r="F41" s="253"/>
      <c r="G41" s="253"/>
    </row>
    <row r="42" spans="1:7" ht="15.75" x14ac:dyDescent="0.25">
      <c r="A42" s="351" t="s">
        <v>678</v>
      </c>
      <c r="B42" s="254" t="s">
        <v>679</v>
      </c>
      <c r="C42" s="254" t="s">
        <v>680</v>
      </c>
      <c r="D42" s="353" t="s">
        <v>681</v>
      </c>
      <c r="E42" s="354"/>
      <c r="F42" s="355"/>
      <c r="G42" s="254" t="s">
        <v>682</v>
      </c>
    </row>
    <row r="43" spans="1:7" ht="15.75" x14ac:dyDescent="0.25">
      <c r="A43" s="352"/>
      <c r="B43" s="255" t="s">
        <v>683</v>
      </c>
      <c r="C43" s="255" t="s">
        <v>684</v>
      </c>
      <c r="D43" s="255" t="s">
        <v>92</v>
      </c>
      <c r="E43" s="255" t="s">
        <v>93</v>
      </c>
      <c r="F43" s="356" t="s">
        <v>25</v>
      </c>
      <c r="G43" s="255" t="s">
        <v>454</v>
      </c>
    </row>
    <row r="44" spans="1:7" ht="15.75" x14ac:dyDescent="0.25">
      <c r="A44" s="352"/>
      <c r="B44" s="255"/>
      <c r="C44" s="255"/>
      <c r="D44" s="256" t="s">
        <v>684</v>
      </c>
      <c r="E44" s="256" t="s">
        <v>685</v>
      </c>
      <c r="F44" s="357"/>
      <c r="G44" s="255"/>
    </row>
    <row r="45" spans="1:7" ht="15.75" x14ac:dyDescent="0.25">
      <c r="A45" s="257" t="s">
        <v>686</v>
      </c>
      <c r="B45" s="258" t="s">
        <v>687</v>
      </c>
      <c r="C45" s="258" t="s">
        <v>688</v>
      </c>
      <c r="D45" s="259" t="s">
        <v>689</v>
      </c>
      <c r="E45" s="258" t="s">
        <v>690</v>
      </c>
      <c r="F45" s="258" t="s">
        <v>691</v>
      </c>
      <c r="G45" s="258" t="s">
        <v>692</v>
      </c>
    </row>
    <row r="46" spans="1:7" ht="15.75" x14ac:dyDescent="0.25">
      <c r="A46" s="260" t="s">
        <v>723</v>
      </c>
      <c r="B46" s="261"/>
      <c r="C46" s="261"/>
      <c r="D46" s="263"/>
      <c r="E46" s="263"/>
      <c r="F46" s="263"/>
      <c r="G46" s="263"/>
    </row>
    <row r="47" spans="1:7" ht="15.75" x14ac:dyDescent="0.25">
      <c r="A47" s="262" t="s">
        <v>724</v>
      </c>
      <c r="B47" s="46" t="s">
        <v>528</v>
      </c>
      <c r="C47" s="133">
        <v>912587.5</v>
      </c>
      <c r="D47" s="133">
        <v>384067</v>
      </c>
      <c r="E47" s="133">
        <v>215933</v>
      </c>
      <c r="F47" s="48">
        <f>SUM(E47+D47)</f>
        <v>600000</v>
      </c>
      <c r="G47" s="48">
        <v>600000</v>
      </c>
    </row>
    <row r="48" spans="1:7" ht="15.75" x14ac:dyDescent="0.25">
      <c r="A48" s="262" t="s">
        <v>725</v>
      </c>
      <c r="B48" s="46" t="s">
        <v>532</v>
      </c>
      <c r="C48" s="133">
        <v>317007.15000000002</v>
      </c>
      <c r="D48" s="133">
        <v>222930.57</v>
      </c>
      <c r="E48" s="133">
        <v>91823.53</v>
      </c>
      <c r="F48" s="48">
        <f t="shared" ref="F48:F69" si="1">SUM(E48+D48)</f>
        <v>314754.09999999998</v>
      </c>
      <c r="G48" s="48">
        <v>314754.09999999998</v>
      </c>
    </row>
    <row r="49" spans="1:7" ht="15.75" x14ac:dyDescent="0.25">
      <c r="A49" s="262" t="s">
        <v>726</v>
      </c>
      <c r="B49" s="46" t="s">
        <v>532</v>
      </c>
      <c r="C49" s="133">
        <v>39249.71</v>
      </c>
      <c r="D49" s="133">
        <v>12775.8</v>
      </c>
      <c r="E49" s="133">
        <v>12224.2</v>
      </c>
      <c r="F49" s="48">
        <f t="shared" si="1"/>
        <v>25000</v>
      </c>
      <c r="G49" s="48">
        <v>25000</v>
      </c>
    </row>
    <row r="50" spans="1:7" ht="15.75" x14ac:dyDescent="0.25">
      <c r="A50" s="262" t="s">
        <v>727</v>
      </c>
      <c r="B50" s="46" t="s">
        <v>528</v>
      </c>
      <c r="C50" s="133">
        <v>0</v>
      </c>
      <c r="D50" s="133">
        <v>0</v>
      </c>
      <c r="E50" s="133">
        <v>15000</v>
      </c>
      <c r="F50" s="48">
        <f t="shared" si="1"/>
        <v>15000</v>
      </c>
      <c r="G50" s="48">
        <v>15000</v>
      </c>
    </row>
    <row r="51" spans="1:7" ht="15.75" x14ac:dyDescent="0.25">
      <c r="A51" s="262" t="s">
        <v>728</v>
      </c>
      <c r="B51" s="46" t="s">
        <v>532</v>
      </c>
      <c r="C51" s="133">
        <v>11163.54</v>
      </c>
      <c r="D51" s="133">
        <v>11388.85</v>
      </c>
      <c r="E51" s="133">
        <v>3611.15</v>
      </c>
      <c r="F51" s="48">
        <f t="shared" si="1"/>
        <v>15000</v>
      </c>
      <c r="G51" s="48">
        <v>15000</v>
      </c>
    </row>
    <row r="52" spans="1:7" ht="15.75" x14ac:dyDescent="0.25">
      <c r="A52" s="262" t="s">
        <v>729</v>
      </c>
      <c r="B52" s="46" t="s">
        <v>568</v>
      </c>
      <c r="C52" s="133">
        <v>150000</v>
      </c>
      <c r="D52" s="133">
        <v>68052</v>
      </c>
      <c r="E52" s="133">
        <v>81948</v>
      </c>
      <c r="F52" s="48">
        <f t="shared" si="1"/>
        <v>150000</v>
      </c>
      <c r="G52" s="48">
        <v>150000</v>
      </c>
    </row>
    <row r="53" spans="1:7" ht="15.75" x14ac:dyDescent="0.25">
      <c r="A53" s="262" t="s">
        <v>730</v>
      </c>
      <c r="B53" s="46" t="s">
        <v>529</v>
      </c>
      <c r="C53" s="133">
        <v>59400</v>
      </c>
      <c r="D53" s="133">
        <v>6500</v>
      </c>
      <c r="E53" s="133">
        <v>193500</v>
      </c>
      <c r="F53" s="48">
        <f t="shared" si="1"/>
        <v>200000</v>
      </c>
      <c r="G53" s="48">
        <v>200000</v>
      </c>
    </row>
    <row r="54" spans="1:7" ht="15.75" x14ac:dyDescent="0.25">
      <c r="A54" s="262" t="s">
        <v>731</v>
      </c>
      <c r="B54" s="46" t="s">
        <v>535</v>
      </c>
      <c r="C54" s="133">
        <v>987280.82</v>
      </c>
      <c r="D54" s="133">
        <v>505532.61</v>
      </c>
      <c r="E54" s="133">
        <v>494467.39</v>
      </c>
      <c r="F54" s="48">
        <f t="shared" si="1"/>
        <v>1000000</v>
      </c>
      <c r="G54" s="48">
        <v>1000000</v>
      </c>
    </row>
    <row r="55" spans="1:7" ht="15.75" x14ac:dyDescent="0.25">
      <c r="A55" s="262" t="s">
        <v>732</v>
      </c>
      <c r="B55" s="46" t="s">
        <v>733</v>
      </c>
      <c r="C55" s="133">
        <v>0</v>
      </c>
      <c r="D55" s="133">
        <v>0</v>
      </c>
      <c r="E55" s="133">
        <v>6034.12</v>
      </c>
      <c r="F55" s="48">
        <f t="shared" si="1"/>
        <v>6034.12</v>
      </c>
      <c r="G55" s="48">
        <v>7059.83</v>
      </c>
    </row>
    <row r="56" spans="1:7" ht="15.75" x14ac:dyDescent="0.25">
      <c r="A56" s="262" t="s">
        <v>734</v>
      </c>
      <c r="B56" s="46" t="s">
        <v>579</v>
      </c>
      <c r="C56" s="133">
        <v>1391085.23</v>
      </c>
      <c r="D56" s="133">
        <v>435890.6</v>
      </c>
      <c r="E56" s="133">
        <v>264109.40000000002</v>
      </c>
      <c r="F56" s="48">
        <f t="shared" si="1"/>
        <v>700000</v>
      </c>
      <c r="G56" s="48">
        <v>900000</v>
      </c>
    </row>
    <row r="57" spans="1:7" ht="15.75" x14ac:dyDescent="0.25">
      <c r="A57" s="262" t="s">
        <v>735</v>
      </c>
      <c r="B57" s="46" t="s">
        <v>539</v>
      </c>
      <c r="C57" s="133">
        <v>977024.76</v>
      </c>
      <c r="D57" s="133">
        <v>417203.91</v>
      </c>
      <c r="E57" s="133">
        <v>482796.09</v>
      </c>
      <c r="F57" s="48">
        <f t="shared" si="1"/>
        <v>900000</v>
      </c>
      <c r="G57" s="48">
        <v>900000</v>
      </c>
    </row>
    <row r="58" spans="1:7" ht="15.75" x14ac:dyDescent="0.25">
      <c r="A58" s="271" t="s">
        <v>736</v>
      </c>
      <c r="B58" s="46" t="s">
        <v>578</v>
      </c>
      <c r="C58" s="133">
        <v>36310</v>
      </c>
      <c r="D58" s="133">
        <v>9630</v>
      </c>
      <c r="E58" s="133">
        <v>20370</v>
      </c>
      <c r="F58" s="48">
        <f t="shared" si="1"/>
        <v>30000</v>
      </c>
      <c r="G58" s="48">
        <v>30000</v>
      </c>
    </row>
    <row r="59" spans="1:7" ht="15.75" x14ac:dyDescent="0.25">
      <c r="A59" s="262" t="s">
        <v>737</v>
      </c>
      <c r="B59" s="46" t="s">
        <v>587</v>
      </c>
      <c r="C59" s="133">
        <v>40078.589999999997</v>
      </c>
      <c r="D59" s="133">
        <v>31388.23</v>
      </c>
      <c r="E59" s="133">
        <v>68611.77</v>
      </c>
      <c r="F59" s="48">
        <f t="shared" si="1"/>
        <v>100000</v>
      </c>
      <c r="G59" s="48">
        <v>100000</v>
      </c>
    </row>
    <row r="60" spans="1:7" ht="15.75" x14ac:dyDescent="0.25">
      <c r="A60" s="262" t="s">
        <v>738</v>
      </c>
      <c r="B60" s="46" t="s">
        <v>590</v>
      </c>
      <c r="C60" s="133">
        <v>296043</v>
      </c>
      <c r="D60" s="133">
        <v>278740.65999999997</v>
      </c>
      <c r="E60" s="133">
        <v>121259.34</v>
      </c>
      <c r="F60" s="48">
        <f t="shared" si="1"/>
        <v>400000</v>
      </c>
      <c r="G60" s="48">
        <v>400000</v>
      </c>
    </row>
    <row r="61" spans="1:7" ht="15.75" x14ac:dyDescent="0.25">
      <c r="A61" s="262" t="s">
        <v>739</v>
      </c>
      <c r="B61" s="46" t="s">
        <v>590</v>
      </c>
      <c r="C61" s="133">
        <v>0</v>
      </c>
      <c r="D61" s="133">
        <v>82177.95</v>
      </c>
      <c r="E61" s="133">
        <v>17822.05</v>
      </c>
      <c r="F61" s="48">
        <f t="shared" si="1"/>
        <v>100000</v>
      </c>
      <c r="G61" s="48">
        <v>0</v>
      </c>
    </row>
    <row r="62" spans="1:7" ht="15.75" x14ac:dyDescent="0.25">
      <c r="A62" s="272" t="s">
        <v>740</v>
      </c>
      <c r="B62" s="273" t="s">
        <v>655</v>
      </c>
      <c r="C62" s="133">
        <v>0</v>
      </c>
      <c r="D62" s="133">
        <v>0</v>
      </c>
      <c r="E62" s="133">
        <v>150000</v>
      </c>
      <c r="F62" s="48">
        <f t="shared" si="1"/>
        <v>150000</v>
      </c>
      <c r="G62" s="48">
        <v>0</v>
      </c>
    </row>
    <row r="63" spans="1:7" ht="15.75" x14ac:dyDescent="0.25">
      <c r="A63" s="272" t="s">
        <v>741</v>
      </c>
      <c r="B63" s="264" t="s">
        <v>590</v>
      </c>
      <c r="C63" s="133">
        <v>20597</v>
      </c>
      <c r="D63" s="133">
        <v>51300</v>
      </c>
      <c r="E63" s="133">
        <v>148700</v>
      </c>
      <c r="F63" s="48">
        <f t="shared" si="1"/>
        <v>200000</v>
      </c>
      <c r="G63" s="48">
        <v>0</v>
      </c>
    </row>
    <row r="64" spans="1:7" ht="15.75" x14ac:dyDescent="0.25">
      <c r="A64" s="262" t="s">
        <v>742</v>
      </c>
      <c r="B64" s="46" t="s">
        <v>590</v>
      </c>
      <c r="C64" s="133">
        <v>44388</v>
      </c>
      <c r="D64" s="133">
        <v>193047</v>
      </c>
      <c r="E64" s="133">
        <v>6953</v>
      </c>
      <c r="F64" s="48">
        <f t="shared" si="1"/>
        <v>200000</v>
      </c>
      <c r="G64" s="274">
        <v>200000</v>
      </c>
    </row>
    <row r="65" spans="1:7" ht="15.75" x14ac:dyDescent="0.25">
      <c r="A65" s="262" t="s">
        <v>743</v>
      </c>
      <c r="B65" s="46"/>
      <c r="C65" s="133"/>
      <c r="D65" s="133"/>
      <c r="E65" s="133"/>
      <c r="F65" s="48">
        <f t="shared" si="1"/>
        <v>0</v>
      </c>
      <c r="G65" s="274"/>
    </row>
    <row r="66" spans="1:7" ht="15.75" x14ac:dyDescent="0.25">
      <c r="A66" s="262" t="s">
        <v>744</v>
      </c>
      <c r="B66" s="46" t="s">
        <v>590</v>
      </c>
      <c r="C66" s="133">
        <v>499980</v>
      </c>
      <c r="D66" s="133">
        <v>509625.48</v>
      </c>
      <c r="E66" s="133">
        <v>-9625.48</v>
      </c>
      <c r="F66" s="48">
        <f t="shared" si="1"/>
        <v>500000</v>
      </c>
      <c r="G66" s="274">
        <v>500000</v>
      </c>
    </row>
    <row r="67" spans="1:7" ht="15.75" x14ac:dyDescent="0.25">
      <c r="A67" s="262" t="s">
        <v>745</v>
      </c>
      <c r="B67" s="46" t="s">
        <v>545</v>
      </c>
      <c r="C67" s="133">
        <v>30000</v>
      </c>
      <c r="D67" s="133">
        <v>16200</v>
      </c>
      <c r="E67" s="133">
        <v>8800</v>
      </c>
      <c r="F67" s="48">
        <f t="shared" si="1"/>
        <v>25000</v>
      </c>
      <c r="G67" s="274">
        <v>25000</v>
      </c>
    </row>
    <row r="68" spans="1:7" ht="15.75" x14ac:dyDescent="0.25">
      <c r="A68" s="262" t="s">
        <v>746</v>
      </c>
      <c r="B68" s="46" t="s">
        <v>590</v>
      </c>
      <c r="C68" s="133">
        <v>111098</v>
      </c>
      <c r="D68" s="133">
        <v>43045</v>
      </c>
      <c r="E68" s="133">
        <v>106955</v>
      </c>
      <c r="F68" s="48">
        <f t="shared" si="1"/>
        <v>150000</v>
      </c>
      <c r="G68" s="274">
        <v>150000</v>
      </c>
    </row>
    <row r="69" spans="1:7" ht="15.75" x14ac:dyDescent="0.25">
      <c r="A69" s="262" t="s">
        <v>747</v>
      </c>
      <c r="B69" s="46" t="s">
        <v>576</v>
      </c>
      <c r="C69" s="133">
        <v>199640</v>
      </c>
      <c r="D69" s="133">
        <v>173417</v>
      </c>
      <c r="E69" s="133">
        <v>26583</v>
      </c>
      <c r="F69" s="48">
        <f t="shared" si="1"/>
        <v>200000</v>
      </c>
      <c r="G69" s="274">
        <v>355000</v>
      </c>
    </row>
    <row r="70" spans="1:7" ht="15.75" x14ac:dyDescent="0.25">
      <c r="A70" s="275"/>
      <c r="B70" s="76"/>
      <c r="C70" s="276"/>
      <c r="D70" s="276"/>
      <c r="E70" s="276"/>
      <c r="F70" s="267"/>
      <c r="G70" s="267"/>
    </row>
    <row r="71" spans="1:7" ht="15.75" x14ac:dyDescent="0.25">
      <c r="A71" s="277"/>
      <c r="B71" s="278"/>
      <c r="C71" s="279"/>
      <c r="D71" s="279"/>
      <c r="E71" s="279"/>
      <c r="F71" s="279"/>
      <c r="G71" s="279"/>
    </row>
    <row r="72" spans="1:7" ht="15.75" x14ac:dyDescent="0.25">
      <c r="A72" s="277"/>
      <c r="B72" s="278"/>
      <c r="C72" s="279"/>
      <c r="D72" s="279"/>
      <c r="E72" s="279"/>
      <c r="F72" s="279"/>
      <c r="G72" s="301" t="s">
        <v>655</v>
      </c>
    </row>
    <row r="73" spans="1:7" ht="16.5" x14ac:dyDescent="0.25">
      <c r="A73" s="248" t="s">
        <v>674</v>
      </c>
      <c r="B73" s="249"/>
      <c r="C73" s="249"/>
      <c r="D73" s="249"/>
      <c r="E73" s="249"/>
      <c r="F73" s="249" t="s">
        <v>655</v>
      </c>
      <c r="G73" s="250"/>
    </row>
    <row r="74" spans="1:7" ht="16.5" x14ac:dyDescent="0.25">
      <c r="A74" s="358" t="s">
        <v>748</v>
      </c>
      <c r="B74" s="358"/>
      <c r="C74" s="358"/>
      <c r="D74" s="358"/>
      <c r="E74" s="358"/>
      <c r="F74" s="358"/>
      <c r="G74" s="358"/>
    </row>
    <row r="75" spans="1:7" ht="16.5" x14ac:dyDescent="0.25">
      <c r="A75" s="270"/>
      <c r="B75" s="270"/>
      <c r="C75" s="270"/>
      <c r="D75" s="270"/>
      <c r="E75" s="270"/>
      <c r="F75" s="270"/>
      <c r="G75" s="270"/>
    </row>
    <row r="76" spans="1:7" ht="15.75" x14ac:dyDescent="0.25">
      <c r="A76" s="252" t="s">
        <v>677</v>
      </c>
      <c r="B76" s="253"/>
      <c r="C76" s="253"/>
      <c r="D76" s="253"/>
      <c r="E76" s="253"/>
      <c r="F76" s="253" t="s">
        <v>655</v>
      </c>
      <c r="G76" s="253" t="s">
        <v>655</v>
      </c>
    </row>
    <row r="77" spans="1:7" ht="15.75" x14ac:dyDescent="0.25">
      <c r="A77" s="252"/>
      <c r="B77" s="253"/>
      <c r="C77" s="253"/>
      <c r="D77" s="253"/>
      <c r="E77" s="253"/>
      <c r="F77" s="253"/>
      <c r="G77" s="253"/>
    </row>
    <row r="78" spans="1:7" ht="15.75" x14ac:dyDescent="0.25">
      <c r="A78" s="252"/>
      <c r="B78" s="253"/>
      <c r="C78" s="253"/>
      <c r="D78" s="253"/>
      <c r="E78" s="253"/>
      <c r="F78" s="253"/>
      <c r="G78" s="281"/>
    </row>
    <row r="79" spans="1:7" ht="15.75" x14ac:dyDescent="0.25">
      <c r="A79" s="351" t="s">
        <v>678</v>
      </c>
      <c r="B79" s="254" t="s">
        <v>679</v>
      </c>
      <c r="C79" s="254" t="s">
        <v>680</v>
      </c>
      <c r="D79" s="353" t="s">
        <v>681</v>
      </c>
      <c r="E79" s="354"/>
      <c r="F79" s="355"/>
      <c r="G79" s="254" t="s">
        <v>682</v>
      </c>
    </row>
    <row r="80" spans="1:7" ht="15.75" x14ac:dyDescent="0.25">
      <c r="A80" s="352"/>
      <c r="B80" s="255" t="s">
        <v>683</v>
      </c>
      <c r="C80" s="255" t="s">
        <v>684</v>
      </c>
      <c r="D80" s="255" t="s">
        <v>92</v>
      </c>
      <c r="E80" s="255" t="s">
        <v>93</v>
      </c>
      <c r="F80" s="356" t="s">
        <v>25</v>
      </c>
      <c r="G80" s="255" t="s">
        <v>454</v>
      </c>
    </row>
    <row r="81" spans="1:7" ht="15.75" x14ac:dyDescent="0.25">
      <c r="A81" s="352"/>
      <c r="B81" s="255"/>
      <c r="C81" s="255"/>
      <c r="D81" s="256" t="s">
        <v>684</v>
      </c>
      <c r="E81" s="256" t="s">
        <v>685</v>
      </c>
      <c r="F81" s="357"/>
      <c r="G81" s="255"/>
    </row>
    <row r="82" spans="1:7" ht="15.75" x14ac:dyDescent="0.25">
      <c r="A82" s="257" t="s">
        <v>686</v>
      </c>
      <c r="B82" s="258" t="s">
        <v>687</v>
      </c>
      <c r="C82" s="258" t="s">
        <v>688</v>
      </c>
      <c r="D82" s="259" t="s">
        <v>689</v>
      </c>
      <c r="E82" s="258" t="s">
        <v>690</v>
      </c>
      <c r="F82" s="258" t="s">
        <v>691</v>
      </c>
      <c r="G82" s="258" t="s">
        <v>692</v>
      </c>
    </row>
    <row r="83" spans="1:7" ht="15.75" x14ac:dyDescent="0.25">
      <c r="A83" s="260" t="s">
        <v>655</v>
      </c>
      <c r="B83" s="261"/>
      <c r="C83" s="261"/>
      <c r="D83" s="261"/>
      <c r="E83" s="261"/>
      <c r="F83" s="261"/>
      <c r="G83" s="263"/>
    </row>
    <row r="84" spans="1:7" ht="15.75" x14ac:dyDescent="0.25">
      <c r="A84" s="282"/>
      <c r="B84" s="263"/>
      <c r="C84" s="283"/>
      <c r="D84" s="283"/>
      <c r="E84" s="283"/>
      <c r="F84" s="263"/>
      <c r="G84" s="284"/>
    </row>
    <row r="85" spans="1:7" ht="15.75" x14ac:dyDescent="0.25">
      <c r="A85" s="282"/>
      <c r="B85" s="263"/>
      <c r="C85" s="283"/>
      <c r="D85" s="283"/>
      <c r="E85" s="283"/>
      <c r="F85" s="263"/>
      <c r="G85" s="284"/>
    </row>
    <row r="86" spans="1:7" ht="15.75" x14ac:dyDescent="0.25">
      <c r="A86" s="282"/>
      <c r="B86" s="263"/>
      <c r="C86" s="283"/>
      <c r="D86" s="283"/>
      <c r="E86" s="283"/>
      <c r="F86" s="263"/>
      <c r="G86" s="284"/>
    </row>
    <row r="87" spans="1:7" ht="15.75" x14ac:dyDescent="0.25">
      <c r="A87" s="282"/>
      <c r="B87" s="263"/>
      <c r="C87" s="283"/>
      <c r="D87" s="283"/>
      <c r="E87" s="283"/>
      <c r="F87" s="263"/>
      <c r="G87" s="284"/>
    </row>
    <row r="88" spans="1:7" ht="15.75" x14ac:dyDescent="0.25">
      <c r="A88" s="262" t="s">
        <v>749</v>
      </c>
      <c r="B88" s="46" t="s">
        <v>579</v>
      </c>
      <c r="C88" s="133">
        <v>46470</v>
      </c>
      <c r="D88" s="133">
        <v>79995</v>
      </c>
      <c r="E88" s="133">
        <v>20005</v>
      </c>
      <c r="F88" s="48">
        <f>SUM(D88:E88)</f>
        <v>100000</v>
      </c>
      <c r="G88" s="274">
        <v>100000</v>
      </c>
    </row>
    <row r="89" spans="1:7" ht="15.75" x14ac:dyDescent="0.25">
      <c r="A89" s="262" t="s">
        <v>750</v>
      </c>
      <c r="B89" s="46" t="s">
        <v>590</v>
      </c>
      <c r="C89" s="133">
        <v>79304.19</v>
      </c>
      <c r="D89" s="133">
        <v>49300</v>
      </c>
      <c r="E89" s="133">
        <v>50700</v>
      </c>
      <c r="F89" s="48">
        <f t="shared" ref="F89:F104" si="2">SUM(D89:E89)</f>
        <v>100000</v>
      </c>
      <c r="G89" s="274">
        <v>100000</v>
      </c>
    </row>
    <row r="90" spans="1:7" ht="15.75" x14ac:dyDescent="0.25">
      <c r="A90" s="262" t="s">
        <v>751</v>
      </c>
      <c r="B90" s="46" t="s">
        <v>590</v>
      </c>
      <c r="C90" s="133">
        <v>68360</v>
      </c>
      <c r="D90" s="133">
        <v>48900</v>
      </c>
      <c r="E90" s="133">
        <v>51100</v>
      </c>
      <c r="F90" s="48">
        <f t="shared" si="2"/>
        <v>100000</v>
      </c>
      <c r="G90" s="274">
        <v>100000</v>
      </c>
    </row>
    <row r="91" spans="1:7" ht="15.75" x14ac:dyDescent="0.25">
      <c r="A91" s="262" t="s">
        <v>752</v>
      </c>
      <c r="B91" s="46" t="s">
        <v>589</v>
      </c>
      <c r="C91" s="133">
        <v>191000</v>
      </c>
      <c r="D91" s="133">
        <v>134000</v>
      </c>
      <c r="E91" s="133">
        <v>66000</v>
      </c>
      <c r="F91" s="48">
        <f t="shared" si="2"/>
        <v>200000</v>
      </c>
      <c r="G91" s="274">
        <v>200000</v>
      </c>
    </row>
    <row r="92" spans="1:7" ht="15.75" x14ac:dyDescent="0.25">
      <c r="A92" s="262" t="s">
        <v>753</v>
      </c>
      <c r="B92" s="46" t="s">
        <v>590</v>
      </c>
      <c r="C92" s="133">
        <v>27068</v>
      </c>
      <c r="D92" s="133">
        <v>0</v>
      </c>
      <c r="E92" s="133">
        <v>100000</v>
      </c>
      <c r="F92" s="48">
        <f t="shared" si="2"/>
        <v>100000</v>
      </c>
      <c r="G92" s="274">
        <v>100000</v>
      </c>
    </row>
    <row r="93" spans="1:7" ht="15.75" x14ac:dyDescent="0.25">
      <c r="A93" s="262" t="s">
        <v>754</v>
      </c>
      <c r="B93" s="46" t="s">
        <v>531</v>
      </c>
      <c r="C93" s="133">
        <v>996000</v>
      </c>
      <c r="D93" s="133">
        <v>0</v>
      </c>
      <c r="E93" s="133">
        <v>1000000</v>
      </c>
      <c r="F93" s="48">
        <f t="shared" si="2"/>
        <v>1000000</v>
      </c>
      <c r="G93" s="274">
        <v>1000000</v>
      </c>
    </row>
    <row r="94" spans="1:7" ht="15.75" x14ac:dyDescent="0.25">
      <c r="A94" s="262" t="s">
        <v>755</v>
      </c>
      <c r="B94" s="46" t="s">
        <v>590</v>
      </c>
      <c r="C94" s="133">
        <v>530105</v>
      </c>
      <c r="D94" s="133">
        <v>406105</v>
      </c>
      <c r="E94" s="133">
        <v>93895</v>
      </c>
      <c r="F94" s="48">
        <f t="shared" si="2"/>
        <v>500000</v>
      </c>
      <c r="G94" s="274">
        <v>500000</v>
      </c>
    </row>
    <row r="95" spans="1:7" ht="15.75" x14ac:dyDescent="0.25">
      <c r="A95" s="262" t="s">
        <v>756</v>
      </c>
      <c r="B95" s="46" t="s">
        <v>576</v>
      </c>
      <c r="C95" s="133">
        <v>49875</v>
      </c>
      <c r="D95" s="133">
        <v>0</v>
      </c>
      <c r="E95" s="133">
        <v>50000</v>
      </c>
      <c r="F95" s="48">
        <f t="shared" si="2"/>
        <v>50000</v>
      </c>
      <c r="G95" s="274">
        <v>50000</v>
      </c>
    </row>
    <row r="96" spans="1:7" ht="15.75" x14ac:dyDescent="0.25">
      <c r="A96" s="262" t="s">
        <v>757</v>
      </c>
      <c r="B96" s="46" t="s">
        <v>599</v>
      </c>
      <c r="C96" s="133">
        <v>11250</v>
      </c>
      <c r="D96" s="133">
        <v>0</v>
      </c>
      <c r="E96" s="133">
        <v>22500</v>
      </c>
      <c r="F96" s="48">
        <f t="shared" si="2"/>
        <v>22500</v>
      </c>
      <c r="G96" s="274">
        <v>22500</v>
      </c>
    </row>
    <row r="97" spans="1:7" ht="15.75" x14ac:dyDescent="0.25">
      <c r="A97" s="262" t="s">
        <v>758</v>
      </c>
      <c r="B97" s="46" t="s">
        <v>590</v>
      </c>
      <c r="C97" s="133">
        <v>107771</v>
      </c>
      <c r="D97" s="133">
        <v>149514</v>
      </c>
      <c r="E97" s="133">
        <v>486</v>
      </c>
      <c r="F97" s="48">
        <f t="shared" si="2"/>
        <v>150000</v>
      </c>
      <c r="G97" s="274">
        <v>850000</v>
      </c>
    </row>
    <row r="98" spans="1:7" ht="15.75" x14ac:dyDescent="0.25">
      <c r="A98" s="262" t="s">
        <v>759</v>
      </c>
      <c r="B98" s="46" t="s">
        <v>543</v>
      </c>
      <c r="C98" s="133">
        <v>129959.7</v>
      </c>
      <c r="D98" s="133">
        <v>115877.7</v>
      </c>
      <c r="E98" s="133">
        <v>34122.300000000003</v>
      </c>
      <c r="F98" s="48">
        <f t="shared" si="2"/>
        <v>150000</v>
      </c>
      <c r="G98" s="274">
        <v>150000</v>
      </c>
    </row>
    <row r="99" spans="1:7" ht="15.75" x14ac:dyDescent="0.25">
      <c r="A99" s="262" t="s">
        <v>760</v>
      </c>
      <c r="B99" s="46" t="s">
        <v>542</v>
      </c>
      <c r="C99" s="133">
        <v>59685.5</v>
      </c>
      <c r="D99" s="133">
        <v>26712</v>
      </c>
      <c r="E99" s="133">
        <v>23288</v>
      </c>
      <c r="F99" s="48">
        <f t="shared" si="2"/>
        <v>50000</v>
      </c>
      <c r="G99" s="274">
        <v>50000</v>
      </c>
    </row>
    <row r="100" spans="1:7" ht="15.75" x14ac:dyDescent="0.25">
      <c r="A100" s="262" t="s">
        <v>761</v>
      </c>
      <c r="B100" s="46" t="s">
        <v>562</v>
      </c>
      <c r="C100" s="133">
        <v>844896</v>
      </c>
      <c r="D100" s="133">
        <v>454179</v>
      </c>
      <c r="E100" s="133">
        <v>245821</v>
      </c>
      <c r="F100" s="48">
        <f t="shared" si="2"/>
        <v>700000</v>
      </c>
      <c r="G100" s="274">
        <v>700000</v>
      </c>
    </row>
    <row r="101" spans="1:7" ht="15.75" x14ac:dyDescent="0.25">
      <c r="A101" s="262" t="s">
        <v>762</v>
      </c>
      <c r="B101" s="46" t="s">
        <v>561</v>
      </c>
      <c r="C101" s="133">
        <v>29709.39</v>
      </c>
      <c r="D101" s="133">
        <v>29709.39</v>
      </c>
      <c r="E101" s="133">
        <v>20290.61</v>
      </c>
      <c r="F101" s="48">
        <f t="shared" si="2"/>
        <v>50000</v>
      </c>
      <c r="G101" s="274">
        <v>50000</v>
      </c>
    </row>
    <row r="102" spans="1:7" ht="15.75" x14ac:dyDescent="0.25">
      <c r="A102" s="262" t="s">
        <v>763</v>
      </c>
      <c r="B102" s="46" t="s">
        <v>538</v>
      </c>
      <c r="C102" s="133">
        <v>4675</v>
      </c>
      <c r="D102" s="133">
        <v>3990</v>
      </c>
      <c r="E102" s="133">
        <v>16010</v>
      </c>
      <c r="F102" s="48">
        <f t="shared" si="2"/>
        <v>20000</v>
      </c>
      <c r="G102" s="274">
        <v>20000</v>
      </c>
    </row>
    <row r="103" spans="1:7" ht="15.75" x14ac:dyDescent="0.25">
      <c r="A103" s="262" t="s">
        <v>764</v>
      </c>
      <c r="B103" s="46" t="s">
        <v>631</v>
      </c>
      <c r="C103" s="133">
        <v>0</v>
      </c>
      <c r="D103" s="133">
        <v>0</v>
      </c>
      <c r="E103" s="133">
        <v>20000</v>
      </c>
      <c r="F103" s="48">
        <f t="shared" si="2"/>
        <v>20000</v>
      </c>
      <c r="G103" s="274">
        <v>20000</v>
      </c>
    </row>
    <row r="104" spans="1:7" ht="15.75" x14ac:dyDescent="0.25">
      <c r="A104" s="285" t="s">
        <v>765</v>
      </c>
      <c r="B104" s="76" t="s">
        <v>590</v>
      </c>
      <c r="C104" s="286">
        <v>0</v>
      </c>
      <c r="D104" s="286">
        <v>0</v>
      </c>
      <c r="E104" s="286">
        <v>0</v>
      </c>
      <c r="F104" s="49">
        <f t="shared" si="2"/>
        <v>0</v>
      </c>
      <c r="G104" s="287">
        <v>149572.95000000001</v>
      </c>
    </row>
    <row r="105" spans="1:7" ht="15.75" x14ac:dyDescent="0.25">
      <c r="A105" s="288"/>
      <c r="B105" s="278"/>
      <c r="C105" s="157"/>
      <c r="D105" s="157"/>
      <c r="E105" s="157"/>
      <c r="F105" s="157"/>
      <c r="G105" s="157"/>
    </row>
    <row r="106" spans="1:7" ht="15.75" x14ac:dyDescent="0.25">
      <c r="A106" s="288"/>
      <c r="B106" s="278"/>
      <c r="C106" s="157"/>
      <c r="D106" s="157"/>
      <c r="E106" s="157"/>
      <c r="F106" s="157"/>
      <c r="G106" s="157"/>
    </row>
    <row r="107" spans="1:7" ht="15.75" x14ac:dyDescent="0.25">
      <c r="A107" s="288"/>
      <c r="B107" s="278"/>
      <c r="C107" s="157"/>
      <c r="D107" s="157"/>
      <c r="E107" s="157"/>
      <c r="F107" s="157"/>
      <c r="G107" s="157"/>
    </row>
    <row r="108" spans="1:7" ht="15.75" x14ac:dyDescent="0.25">
      <c r="A108" s="288"/>
      <c r="B108" s="278"/>
      <c r="C108" s="157"/>
      <c r="D108" s="157"/>
      <c r="E108" s="157"/>
      <c r="F108" s="157"/>
      <c r="G108" s="157"/>
    </row>
    <row r="109" spans="1:7" ht="15.75" x14ac:dyDescent="0.25">
      <c r="A109" s="288"/>
      <c r="B109" s="278"/>
      <c r="C109" s="157"/>
      <c r="D109" s="157"/>
      <c r="E109" s="157"/>
      <c r="F109" s="157"/>
      <c r="G109" s="157"/>
    </row>
    <row r="110" spans="1:7" ht="16.5" x14ac:dyDescent="0.25">
      <c r="A110" s="248" t="s">
        <v>674</v>
      </c>
      <c r="B110" s="249"/>
      <c r="C110" s="249"/>
      <c r="D110" s="249"/>
      <c r="E110" s="249"/>
      <c r="F110" s="249" t="s">
        <v>655</v>
      </c>
      <c r="G110" s="250" t="s">
        <v>675</v>
      </c>
    </row>
    <row r="111" spans="1:7" ht="16.5" x14ac:dyDescent="0.25">
      <c r="A111" s="358" t="s">
        <v>748</v>
      </c>
      <c r="B111" s="358"/>
      <c r="C111" s="358"/>
      <c r="D111" s="358"/>
      <c r="E111" s="358"/>
      <c r="F111" s="358"/>
      <c r="G111" s="358"/>
    </row>
    <row r="112" spans="1:7" ht="16.5" x14ac:dyDescent="0.25">
      <c r="A112" s="270"/>
      <c r="B112" s="270"/>
      <c r="C112" s="270"/>
      <c r="D112" s="270"/>
      <c r="E112" s="270"/>
      <c r="F112" s="270"/>
      <c r="G112" s="270"/>
    </row>
    <row r="113" spans="1:7" ht="15.75" x14ac:dyDescent="0.25">
      <c r="A113" s="252" t="s">
        <v>677</v>
      </c>
      <c r="B113" s="253"/>
      <c r="C113" s="253"/>
      <c r="D113" s="253"/>
      <c r="E113" s="253"/>
      <c r="F113" s="253" t="s">
        <v>655</v>
      </c>
      <c r="G113" s="253" t="s">
        <v>655</v>
      </c>
    </row>
    <row r="114" spans="1:7" ht="15.75" x14ac:dyDescent="0.25">
      <c r="A114" s="252"/>
      <c r="B114" s="253"/>
      <c r="C114" s="253"/>
      <c r="D114" s="253"/>
      <c r="E114" s="253"/>
      <c r="F114" s="253"/>
      <c r="G114" s="253"/>
    </row>
    <row r="115" spans="1:7" ht="15.75" x14ac:dyDescent="0.25">
      <c r="A115" s="252"/>
      <c r="B115" s="253"/>
      <c r="C115" s="253"/>
      <c r="D115" s="253"/>
      <c r="E115" s="253"/>
      <c r="F115" s="253"/>
      <c r="G115" s="281"/>
    </row>
    <row r="116" spans="1:7" ht="15.75" x14ac:dyDescent="0.25">
      <c r="A116" s="351" t="s">
        <v>678</v>
      </c>
      <c r="B116" s="254" t="s">
        <v>679</v>
      </c>
      <c r="C116" s="254" t="s">
        <v>680</v>
      </c>
      <c r="D116" s="353" t="s">
        <v>681</v>
      </c>
      <c r="E116" s="354"/>
      <c r="F116" s="355"/>
      <c r="G116" s="254" t="s">
        <v>682</v>
      </c>
    </row>
    <row r="117" spans="1:7" ht="15.75" x14ac:dyDescent="0.25">
      <c r="A117" s="352"/>
      <c r="B117" s="255" t="s">
        <v>683</v>
      </c>
      <c r="C117" s="255" t="s">
        <v>684</v>
      </c>
      <c r="D117" s="255" t="s">
        <v>92</v>
      </c>
      <c r="E117" s="255" t="s">
        <v>93</v>
      </c>
      <c r="F117" s="356" t="s">
        <v>25</v>
      </c>
      <c r="G117" s="255" t="s">
        <v>454</v>
      </c>
    </row>
    <row r="118" spans="1:7" ht="15.75" x14ac:dyDescent="0.25">
      <c r="A118" s="352"/>
      <c r="B118" s="255"/>
      <c r="C118" s="255"/>
      <c r="D118" s="256" t="s">
        <v>684</v>
      </c>
      <c r="E118" s="256" t="s">
        <v>685</v>
      </c>
      <c r="F118" s="357"/>
      <c r="G118" s="255"/>
    </row>
    <row r="119" spans="1:7" ht="15.75" x14ac:dyDescent="0.25">
      <c r="A119" s="257" t="s">
        <v>686</v>
      </c>
      <c r="B119" s="258" t="s">
        <v>687</v>
      </c>
      <c r="C119" s="258" t="s">
        <v>688</v>
      </c>
      <c r="D119" s="259" t="s">
        <v>689</v>
      </c>
      <c r="E119" s="258" t="s">
        <v>690</v>
      </c>
      <c r="F119" s="258" t="s">
        <v>691</v>
      </c>
      <c r="G119" s="258" t="s">
        <v>692</v>
      </c>
    </row>
    <row r="120" spans="1:7" ht="15.75" x14ac:dyDescent="0.25">
      <c r="A120" s="289" t="s">
        <v>655</v>
      </c>
      <c r="B120" s="261"/>
      <c r="C120" s="261" t="s">
        <v>655</v>
      </c>
      <c r="D120" s="261"/>
      <c r="E120" s="261"/>
      <c r="F120" s="261"/>
      <c r="G120" s="263"/>
    </row>
    <row r="121" spans="1:7" ht="15.75" x14ac:dyDescent="0.25">
      <c r="A121" s="262" t="s">
        <v>766</v>
      </c>
      <c r="B121" s="46" t="s">
        <v>559</v>
      </c>
      <c r="C121" s="133">
        <v>0</v>
      </c>
      <c r="D121" s="133">
        <v>0</v>
      </c>
      <c r="E121" s="133">
        <v>400000</v>
      </c>
      <c r="F121" s="48">
        <f>SUM(D121:E121)</f>
        <v>400000</v>
      </c>
      <c r="G121" s="274">
        <v>0</v>
      </c>
    </row>
    <row r="122" spans="1:7" ht="15.75" x14ac:dyDescent="0.25">
      <c r="A122" s="262" t="s">
        <v>767</v>
      </c>
      <c r="B122" s="46" t="s">
        <v>590</v>
      </c>
      <c r="C122" s="133">
        <v>0</v>
      </c>
      <c r="D122" s="133">
        <v>0</v>
      </c>
      <c r="E122" s="133">
        <v>50000</v>
      </c>
      <c r="F122" s="48">
        <f>SUM(D122:E122)</f>
        <v>50000</v>
      </c>
      <c r="G122" s="274">
        <v>50000</v>
      </c>
    </row>
    <row r="123" spans="1:7" ht="15.75" x14ac:dyDescent="0.25">
      <c r="A123" s="290" t="s">
        <v>768</v>
      </c>
      <c r="B123" s="46" t="s">
        <v>559</v>
      </c>
      <c r="C123" s="157">
        <v>120000</v>
      </c>
      <c r="D123" s="133">
        <v>60000</v>
      </c>
      <c r="E123" s="48">
        <v>60000</v>
      </c>
      <c r="F123" s="48">
        <f>SUM(D123:E123)</f>
        <v>120000</v>
      </c>
      <c r="G123" s="274">
        <v>120000</v>
      </c>
    </row>
    <row r="124" spans="1:7" ht="15.75" x14ac:dyDescent="0.25">
      <c r="A124" s="290" t="s">
        <v>769</v>
      </c>
      <c r="B124" s="46" t="s">
        <v>589</v>
      </c>
      <c r="C124" s="157">
        <v>2144000</v>
      </c>
      <c r="D124" s="133"/>
      <c r="E124" s="48"/>
      <c r="F124" s="48">
        <f>SUM(D124:E124)</f>
        <v>0</v>
      </c>
      <c r="G124" s="48">
        <v>0</v>
      </c>
    </row>
    <row r="125" spans="1:7" ht="15.75" x14ac:dyDescent="0.25">
      <c r="A125" s="291" t="s">
        <v>281</v>
      </c>
      <c r="B125" s="46"/>
      <c r="C125" s="279">
        <f>SUM(C47:C124)</f>
        <v>11563062.080000002</v>
      </c>
      <c r="D125" s="292">
        <f>SUM(D47:D124)</f>
        <v>5011194.75</v>
      </c>
      <c r="E125" s="292">
        <f>SUM(E47:E124)</f>
        <v>4852093.47</v>
      </c>
      <c r="F125" s="292">
        <f>SUM(F47:F124)</f>
        <v>9863288.2200000007</v>
      </c>
      <c r="G125" s="292">
        <f>SUM(G47:G124)</f>
        <v>10218886.879999999</v>
      </c>
    </row>
    <row r="126" spans="1:7" ht="15.75" x14ac:dyDescent="0.25">
      <c r="A126" s="282"/>
      <c r="B126" s="293"/>
      <c r="C126" s="283" t="s">
        <v>655</v>
      </c>
      <c r="D126" s="283" t="s">
        <v>655</v>
      </c>
      <c r="E126" s="263"/>
      <c r="F126" s="263" t="s">
        <v>655</v>
      </c>
      <c r="G126" s="263"/>
    </row>
    <row r="127" spans="1:7" ht="15.75" x14ac:dyDescent="0.25">
      <c r="A127" s="282" t="s">
        <v>770</v>
      </c>
      <c r="B127" s="293"/>
      <c r="C127" s="263" t="s">
        <v>655</v>
      </c>
      <c r="D127" s="283"/>
      <c r="E127" s="263"/>
      <c r="F127" s="263"/>
      <c r="G127" s="263"/>
    </row>
    <row r="128" spans="1:7" ht="15.75" x14ac:dyDescent="0.25">
      <c r="A128" s="262" t="s">
        <v>771</v>
      </c>
      <c r="B128" s="293" t="s">
        <v>617</v>
      </c>
      <c r="C128" s="48">
        <v>995540.98</v>
      </c>
      <c r="D128" s="48">
        <v>690209.55</v>
      </c>
      <c r="E128" s="48">
        <v>9790.4500000000007</v>
      </c>
      <c r="F128" s="48">
        <f>SUM(D128:E128)</f>
        <v>700000</v>
      </c>
      <c r="G128" s="48">
        <v>0</v>
      </c>
    </row>
    <row r="129" spans="1:7" ht="15.75" x14ac:dyDescent="0.25">
      <c r="A129" s="262" t="s">
        <v>772</v>
      </c>
      <c r="B129" s="293" t="s">
        <v>667</v>
      </c>
      <c r="C129" s="48">
        <v>1312500</v>
      </c>
      <c r="D129" s="48"/>
      <c r="E129" s="48"/>
      <c r="F129" s="48">
        <f>SUM(D129:E129)</f>
        <v>0</v>
      </c>
      <c r="G129" s="48">
        <v>1600000</v>
      </c>
    </row>
    <row r="130" spans="1:7" ht="15.75" x14ac:dyDescent="0.25">
      <c r="A130" s="262" t="s">
        <v>773</v>
      </c>
      <c r="B130" s="293" t="s">
        <v>620</v>
      </c>
      <c r="C130" s="48">
        <v>0</v>
      </c>
      <c r="D130" s="48">
        <v>0</v>
      </c>
      <c r="E130" s="48">
        <v>1000000</v>
      </c>
      <c r="F130" s="48">
        <f>SUM(D130:E130)</f>
        <v>1000000</v>
      </c>
      <c r="G130" s="48">
        <v>0</v>
      </c>
    </row>
    <row r="131" spans="1:7" ht="15.75" x14ac:dyDescent="0.25">
      <c r="A131" s="262" t="s">
        <v>774</v>
      </c>
      <c r="B131" s="293" t="s">
        <v>618</v>
      </c>
      <c r="C131" s="48"/>
      <c r="D131" s="48"/>
      <c r="E131" s="48"/>
      <c r="F131" s="48"/>
      <c r="G131" s="48">
        <v>1900000</v>
      </c>
    </row>
    <row r="132" spans="1:7" ht="15.75" x14ac:dyDescent="0.25">
      <c r="A132" s="294"/>
      <c r="B132" s="279"/>
      <c r="C132" s="292">
        <f>SUM(C128:C130)</f>
        <v>2308040.98</v>
      </c>
      <c r="D132" s="292">
        <f>SUM(D128:D130)</f>
        <v>690209.55</v>
      </c>
      <c r="E132" s="292">
        <f>SUM(E128:E130)</f>
        <v>1009790.45</v>
      </c>
      <c r="F132" s="292">
        <f>SUM(F128:F130)</f>
        <v>1700000</v>
      </c>
      <c r="G132" s="292">
        <f>SUM(G128:G131)</f>
        <v>3500000</v>
      </c>
    </row>
    <row r="133" spans="1:7" ht="15.75" x14ac:dyDescent="0.25">
      <c r="A133" s="294"/>
      <c r="B133" s="293"/>
      <c r="C133" s="263"/>
      <c r="D133" s="263"/>
      <c r="E133" s="263"/>
      <c r="F133" s="263"/>
      <c r="G133" s="263"/>
    </row>
    <row r="134" spans="1:7" ht="15.75" x14ac:dyDescent="0.25">
      <c r="A134" s="295" t="s">
        <v>775</v>
      </c>
      <c r="B134" s="281"/>
      <c r="C134" s="267">
        <f>SUM(C132+C125+C34)</f>
        <v>19632042.310000002</v>
      </c>
      <c r="D134" s="267">
        <f>SUM(D132+D125+D34)</f>
        <v>8840372.959999999</v>
      </c>
      <c r="E134" s="267">
        <f>SUM(E132+E125+E34)</f>
        <v>10128046.390000001</v>
      </c>
      <c r="F134" s="267">
        <f>SUM(F132+F125+F34)</f>
        <v>18968419.350000001</v>
      </c>
      <c r="G134" s="267">
        <f>SUM(G132+G125+G34)</f>
        <v>21122070.199999999</v>
      </c>
    </row>
    <row r="135" spans="1:7" ht="15.75" x14ac:dyDescent="0.25">
      <c r="A135" s="252" t="s">
        <v>776</v>
      </c>
      <c r="B135" s="253"/>
      <c r="C135" s="253" t="s">
        <v>777</v>
      </c>
      <c r="D135" s="253"/>
      <c r="E135" s="253"/>
      <c r="F135" s="253"/>
      <c r="G135" s="253"/>
    </row>
    <row r="136" spans="1:7" ht="15.75" x14ac:dyDescent="0.25">
      <c r="A136" s="252"/>
      <c r="B136" s="253"/>
      <c r="C136" s="253"/>
      <c r="D136" s="253"/>
      <c r="E136" s="253"/>
      <c r="F136" s="253"/>
      <c r="G136" s="253"/>
    </row>
    <row r="137" spans="1:7" ht="15.75" x14ac:dyDescent="0.25">
      <c r="A137" s="252"/>
      <c r="B137" s="253"/>
      <c r="C137" s="253"/>
      <c r="D137" s="253"/>
      <c r="E137" s="253"/>
      <c r="F137" s="253"/>
      <c r="G137" s="253"/>
    </row>
    <row r="138" spans="1:7" ht="15.75" x14ac:dyDescent="0.25">
      <c r="A138" s="252"/>
      <c r="B138" s="253"/>
      <c r="C138" s="253"/>
      <c r="D138" s="253"/>
      <c r="E138" s="253"/>
      <c r="F138" s="253"/>
      <c r="G138" s="253"/>
    </row>
    <row r="139" spans="1:7" ht="15.75" x14ac:dyDescent="0.25">
      <c r="A139" s="296"/>
      <c r="B139" s="297" t="s">
        <v>779</v>
      </c>
      <c r="C139" s="253"/>
      <c r="D139" s="253"/>
      <c r="E139" s="359" t="s">
        <v>778</v>
      </c>
      <c r="F139" s="359"/>
      <c r="G139" s="359"/>
    </row>
    <row r="140" spans="1:7" ht="15.75" x14ac:dyDescent="0.25">
      <c r="A140" s="298"/>
      <c r="B140" s="299" t="s">
        <v>780</v>
      </c>
      <c r="C140" s="299"/>
      <c r="D140" s="299"/>
      <c r="E140" s="360" t="s">
        <v>781</v>
      </c>
      <c r="F140" s="360"/>
      <c r="G140" s="360"/>
    </row>
    <row r="141" spans="1:7" ht="15.75" x14ac:dyDescent="0.25">
      <c r="A141" s="298"/>
      <c r="B141" s="299"/>
      <c r="C141" s="299"/>
      <c r="D141" s="299"/>
      <c r="E141" s="300"/>
      <c r="F141" s="300"/>
      <c r="G141" s="300"/>
    </row>
    <row r="147" spans="1:7" ht="16.5" x14ac:dyDescent="0.25">
      <c r="A147" s="248" t="s">
        <v>674</v>
      </c>
      <c r="B147" s="249"/>
      <c r="C147" s="249"/>
      <c r="D147" s="249"/>
      <c r="E147" s="249"/>
      <c r="F147" s="249" t="s">
        <v>655</v>
      </c>
      <c r="G147" s="250" t="s">
        <v>675</v>
      </c>
    </row>
    <row r="148" spans="1:7" ht="18" x14ac:dyDescent="0.25">
      <c r="A148" s="350" t="s">
        <v>782</v>
      </c>
      <c r="B148" s="350"/>
      <c r="C148" s="350"/>
      <c r="D148" s="350"/>
      <c r="E148" s="350"/>
      <c r="F148" s="350"/>
      <c r="G148" s="350"/>
    </row>
    <row r="149" spans="1:7" ht="18" x14ac:dyDescent="0.25">
      <c r="A149" s="251"/>
      <c r="B149" s="251"/>
      <c r="C149" s="251"/>
      <c r="D149" s="251"/>
      <c r="E149" s="251"/>
      <c r="F149" s="251"/>
      <c r="G149" s="251"/>
    </row>
    <row r="150" spans="1:7" ht="15.75" x14ac:dyDescent="0.25">
      <c r="A150" s="252" t="s">
        <v>783</v>
      </c>
      <c r="B150" s="253"/>
      <c r="C150" s="253"/>
      <c r="D150" s="253"/>
      <c r="E150" s="253"/>
      <c r="F150" s="253" t="s">
        <v>655</v>
      </c>
      <c r="G150" s="253" t="s">
        <v>655</v>
      </c>
    </row>
    <row r="151" spans="1:7" ht="15.75" x14ac:dyDescent="0.25">
      <c r="A151" s="252"/>
      <c r="B151" s="253"/>
      <c r="C151" s="253"/>
      <c r="D151" s="253"/>
      <c r="E151" s="253"/>
      <c r="F151" s="253"/>
      <c r="G151" s="253"/>
    </row>
    <row r="152" spans="1:7" ht="15.75" x14ac:dyDescent="0.25">
      <c r="A152" s="351" t="s">
        <v>678</v>
      </c>
      <c r="B152" s="254" t="s">
        <v>679</v>
      </c>
      <c r="C152" s="254" t="s">
        <v>680</v>
      </c>
      <c r="D152" s="353" t="s">
        <v>681</v>
      </c>
      <c r="E152" s="354"/>
      <c r="F152" s="355"/>
      <c r="G152" s="254" t="s">
        <v>682</v>
      </c>
    </row>
    <row r="153" spans="1:7" ht="15.75" x14ac:dyDescent="0.25">
      <c r="A153" s="352"/>
      <c r="B153" s="255" t="s">
        <v>683</v>
      </c>
      <c r="C153" s="255" t="s">
        <v>684</v>
      </c>
      <c r="D153" s="255" t="s">
        <v>92</v>
      </c>
      <c r="E153" s="255" t="s">
        <v>93</v>
      </c>
      <c r="F153" s="356" t="s">
        <v>25</v>
      </c>
      <c r="G153" s="255" t="s">
        <v>454</v>
      </c>
    </row>
    <row r="154" spans="1:7" ht="15.75" x14ac:dyDescent="0.25">
      <c r="A154" s="352"/>
      <c r="B154" s="255"/>
      <c r="C154" s="255"/>
      <c r="D154" s="256" t="s">
        <v>684</v>
      </c>
      <c r="E154" s="256" t="s">
        <v>685</v>
      </c>
      <c r="F154" s="357"/>
      <c r="G154" s="255"/>
    </row>
    <row r="155" spans="1:7" ht="15.75" x14ac:dyDescent="0.25">
      <c r="A155" s="257" t="s">
        <v>686</v>
      </c>
      <c r="B155" s="258" t="s">
        <v>687</v>
      </c>
      <c r="C155" s="258" t="s">
        <v>688</v>
      </c>
      <c r="D155" s="259" t="s">
        <v>689</v>
      </c>
      <c r="E155" s="258" t="s">
        <v>690</v>
      </c>
      <c r="F155" s="258" t="s">
        <v>691</v>
      </c>
      <c r="G155" s="258" t="s">
        <v>692</v>
      </c>
    </row>
    <row r="156" spans="1:7" ht="15.75" x14ac:dyDescent="0.25">
      <c r="A156" s="260" t="s">
        <v>693</v>
      </c>
      <c r="B156" s="261"/>
      <c r="C156" s="261"/>
      <c r="D156" s="263"/>
      <c r="E156" s="263"/>
      <c r="F156" s="263"/>
      <c r="G156" s="263"/>
    </row>
    <row r="157" spans="1:7" ht="15.75" x14ac:dyDescent="0.25">
      <c r="A157" s="302" t="s">
        <v>784</v>
      </c>
      <c r="B157" s="263"/>
      <c r="C157" s="263"/>
      <c r="D157" s="263"/>
      <c r="E157" s="263"/>
      <c r="F157" s="263"/>
      <c r="G157" s="263"/>
    </row>
    <row r="158" spans="1:7" ht="15.75" x14ac:dyDescent="0.25">
      <c r="A158" s="262" t="s">
        <v>695</v>
      </c>
      <c r="B158" s="264" t="s">
        <v>505</v>
      </c>
      <c r="C158" s="274">
        <v>768414.5</v>
      </c>
      <c r="D158" s="274">
        <v>424740</v>
      </c>
      <c r="E158" s="274">
        <v>424740</v>
      </c>
      <c r="F158" s="274">
        <f>E158+D158</f>
        <v>849480</v>
      </c>
      <c r="G158" s="274">
        <v>943032</v>
      </c>
    </row>
    <row r="159" spans="1:7" ht="15.75" x14ac:dyDescent="0.25">
      <c r="A159" s="262" t="s">
        <v>696</v>
      </c>
      <c r="B159" s="264" t="s">
        <v>521</v>
      </c>
      <c r="C159" s="274">
        <v>92209.74</v>
      </c>
      <c r="D159" s="274">
        <v>50968.800000000003</v>
      </c>
      <c r="E159" s="274">
        <v>50968.800000000003</v>
      </c>
      <c r="F159" s="274">
        <f t="shared" ref="F159:F175" si="3">E159+D159</f>
        <v>101937.60000000001</v>
      </c>
      <c r="G159" s="274">
        <v>113163.84</v>
      </c>
    </row>
    <row r="160" spans="1:7" ht="15.75" x14ac:dyDescent="0.25">
      <c r="A160" s="262" t="s">
        <v>697</v>
      </c>
      <c r="B160" s="264" t="s">
        <v>527</v>
      </c>
      <c r="C160" s="274">
        <v>35221.050000000003</v>
      </c>
      <c r="D160" s="274">
        <v>35669.54</v>
      </c>
      <c r="E160" s="274">
        <v>11760.52</v>
      </c>
      <c r="F160" s="274">
        <f t="shared" si="3"/>
        <v>47430.06</v>
      </c>
      <c r="G160" s="274">
        <v>113618.15</v>
      </c>
    </row>
    <row r="161" spans="1:7" ht="15.75" x14ac:dyDescent="0.25">
      <c r="A161" s="262" t="s">
        <v>698</v>
      </c>
      <c r="B161" s="264" t="s">
        <v>508</v>
      </c>
      <c r="C161" s="274">
        <v>72000</v>
      </c>
      <c r="D161" s="274">
        <v>36000</v>
      </c>
      <c r="E161" s="274">
        <v>36000</v>
      </c>
      <c r="F161" s="274">
        <f t="shared" si="3"/>
        <v>72000</v>
      </c>
      <c r="G161" s="274">
        <v>72000</v>
      </c>
    </row>
    <row r="162" spans="1:7" ht="15.75" x14ac:dyDescent="0.25">
      <c r="A162" s="262" t="s">
        <v>699</v>
      </c>
      <c r="B162" s="264" t="s">
        <v>664</v>
      </c>
      <c r="C162" s="274">
        <v>15000</v>
      </c>
      <c r="D162" s="274">
        <v>0</v>
      </c>
      <c r="E162" s="274">
        <v>0</v>
      </c>
      <c r="F162" s="274">
        <f t="shared" si="3"/>
        <v>0</v>
      </c>
      <c r="G162" s="274">
        <v>0</v>
      </c>
    </row>
    <row r="163" spans="1:7" ht="15.75" x14ac:dyDescent="0.25">
      <c r="A163" s="262" t="s">
        <v>700</v>
      </c>
      <c r="B163" s="264" t="s">
        <v>522</v>
      </c>
      <c r="C163" s="274">
        <v>15368.29</v>
      </c>
      <c r="D163" s="274">
        <v>8494.7999999999993</v>
      </c>
      <c r="E163" s="274">
        <v>8494.7999999999993</v>
      </c>
      <c r="F163" s="274">
        <f t="shared" si="3"/>
        <v>16989.599999999999</v>
      </c>
      <c r="G163" s="274">
        <v>18860.64</v>
      </c>
    </row>
    <row r="164" spans="1:7" ht="15.75" x14ac:dyDescent="0.25">
      <c r="A164" s="262" t="s">
        <v>701</v>
      </c>
      <c r="B164" s="264" t="s">
        <v>523</v>
      </c>
      <c r="C164" s="274">
        <v>8550</v>
      </c>
      <c r="D164" s="274">
        <v>4425</v>
      </c>
      <c r="E164" s="274">
        <v>4425</v>
      </c>
      <c r="F164" s="274">
        <f t="shared" si="3"/>
        <v>8850</v>
      </c>
      <c r="G164" s="274">
        <v>8850</v>
      </c>
    </row>
    <row r="165" spans="1:7" ht="15.75" x14ac:dyDescent="0.25">
      <c r="A165" s="262" t="s">
        <v>702</v>
      </c>
      <c r="B165" s="264" t="s">
        <v>524</v>
      </c>
      <c r="C165" s="274">
        <v>3580.87</v>
      </c>
      <c r="D165" s="274">
        <v>1802.23</v>
      </c>
      <c r="E165" s="274">
        <v>6677.77</v>
      </c>
      <c r="F165" s="274">
        <f t="shared" si="3"/>
        <v>8480</v>
      </c>
      <c r="G165" s="274">
        <v>9430.32</v>
      </c>
    </row>
    <row r="166" spans="1:7" ht="15.75" x14ac:dyDescent="0.25">
      <c r="A166" s="262" t="s">
        <v>785</v>
      </c>
      <c r="B166" s="264" t="s">
        <v>704</v>
      </c>
      <c r="C166" s="274">
        <v>0</v>
      </c>
      <c r="D166" s="274">
        <v>70790</v>
      </c>
      <c r="E166" s="274">
        <v>-1</v>
      </c>
      <c r="F166" s="274">
        <f t="shared" si="3"/>
        <v>70789</v>
      </c>
      <c r="G166" s="274">
        <v>78586</v>
      </c>
    </row>
    <row r="167" spans="1:7" ht="15.75" x14ac:dyDescent="0.25">
      <c r="A167" s="262" t="s">
        <v>705</v>
      </c>
      <c r="B167" s="264" t="s">
        <v>704</v>
      </c>
      <c r="C167" s="274">
        <v>64079</v>
      </c>
      <c r="D167" s="274">
        <v>0</v>
      </c>
      <c r="E167" s="274">
        <v>70790</v>
      </c>
      <c r="F167" s="274">
        <f t="shared" si="3"/>
        <v>70790</v>
      </c>
      <c r="G167" s="274">
        <v>78586</v>
      </c>
    </row>
    <row r="168" spans="1:7" ht="15.75" x14ac:dyDescent="0.25">
      <c r="A168" s="262" t="s">
        <v>706</v>
      </c>
      <c r="B168" s="264" t="s">
        <v>707</v>
      </c>
      <c r="C168" s="274">
        <v>15000</v>
      </c>
      <c r="D168" s="274">
        <v>7500</v>
      </c>
      <c r="E168" s="274">
        <v>7500</v>
      </c>
      <c r="F168" s="274">
        <f t="shared" si="3"/>
        <v>15000</v>
      </c>
      <c r="G168" s="274">
        <v>15000</v>
      </c>
    </row>
    <row r="169" spans="1:7" ht="15.75" x14ac:dyDescent="0.25">
      <c r="A169" s="262" t="s">
        <v>786</v>
      </c>
      <c r="B169" s="264" t="s">
        <v>709</v>
      </c>
      <c r="C169" s="274">
        <v>67500</v>
      </c>
      <c r="D169" s="274">
        <v>33750</v>
      </c>
      <c r="E169" s="274">
        <v>33750</v>
      </c>
      <c r="F169" s="274">
        <f t="shared" si="3"/>
        <v>67500</v>
      </c>
      <c r="G169" s="274">
        <v>67500</v>
      </c>
    </row>
    <row r="170" spans="1:7" ht="15.75" x14ac:dyDescent="0.25">
      <c r="A170" s="262" t="s">
        <v>787</v>
      </c>
      <c r="B170" s="264" t="s">
        <v>510</v>
      </c>
      <c r="C170" s="274">
        <v>67500</v>
      </c>
      <c r="D170" s="274">
        <v>33750</v>
      </c>
      <c r="E170" s="274">
        <v>33750</v>
      </c>
      <c r="F170" s="274">
        <f t="shared" si="3"/>
        <v>67500</v>
      </c>
      <c r="G170" s="274">
        <v>67500</v>
      </c>
    </row>
    <row r="171" spans="1:7" ht="15.75" x14ac:dyDescent="0.25">
      <c r="A171" s="262" t="s">
        <v>788</v>
      </c>
      <c r="B171" s="264" t="s">
        <v>712</v>
      </c>
      <c r="C171" s="274">
        <v>15000</v>
      </c>
      <c r="D171" s="274">
        <v>15000</v>
      </c>
      <c r="E171" s="274">
        <v>0</v>
      </c>
      <c r="F171" s="274">
        <f t="shared" si="3"/>
        <v>15000</v>
      </c>
      <c r="G171" s="274">
        <v>15000</v>
      </c>
    </row>
    <row r="172" spans="1:7" ht="15.75" x14ac:dyDescent="0.25">
      <c r="A172" s="262" t="s">
        <v>713</v>
      </c>
      <c r="B172" s="264" t="s">
        <v>789</v>
      </c>
      <c r="C172" s="48">
        <v>0</v>
      </c>
      <c r="D172" s="48">
        <v>0</v>
      </c>
      <c r="E172" s="48">
        <v>0</v>
      </c>
      <c r="F172" s="274">
        <f t="shared" si="3"/>
        <v>0</v>
      </c>
      <c r="G172" s="48">
        <v>0</v>
      </c>
    </row>
    <row r="173" spans="1:7" ht="15.75" x14ac:dyDescent="0.25">
      <c r="A173" s="262" t="s">
        <v>717</v>
      </c>
      <c r="B173" s="264" t="s">
        <v>527</v>
      </c>
      <c r="C173" s="48">
        <v>14766</v>
      </c>
      <c r="D173" s="48">
        <v>0</v>
      </c>
      <c r="E173" s="48">
        <v>15000</v>
      </c>
      <c r="F173" s="274">
        <f t="shared" si="3"/>
        <v>15000</v>
      </c>
      <c r="G173" s="48">
        <v>0</v>
      </c>
    </row>
    <row r="174" spans="1:7" ht="15.75" x14ac:dyDescent="0.25">
      <c r="A174" s="262" t="s">
        <v>790</v>
      </c>
      <c r="B174" s="264" t="s">
        <v>527</v>
      </c>
      <c r="C174" s="48"/>
      <c r="D174" s="48">
        <v>6000</v>
      </c>
      <c r="E174" s="48">
        <v>0</v>
      </c>
      <c r="F174" s="274">
        <f t="shared" si="3"/>
        <v>6000</v>
      </c>
      <c r="G174" s="48"/>
    </row>
    <row r="175" spans="1:7" ht="15.75" x14ac:dyDescent="0.25">
      <c r="A175" s="262" t="s">
        <v>721</v>
      </c>
      <c r="B175" s="264" t="s">
        <v>527</v>
      </c>
      <c r="C175" s="48">
        <v>64079</v>
      </c>
      <c r="D175" s="48">
        <v>0</v>
      </c>
      <c r="E175" s="48">
        <v>15000</v>
      </c>
      <c r="F175" s="274">
        <f t="shared" si="3"/>
        <v>15000</v>
      </c>
      <c r="G175" s="48">
        <v>15000</v>
      </c>
    </row>
    <row r="176" spans="1:7" ht="15.75" x14ac:dyDescent="0.25">
      <c r="A176" s="265" t="s">
        <v>722</v>
      </c>
      <c r="B176" s="303" t="s">
        <v>655</v>
      </c>
      <c r="C176" s="304">
        <f>SUM(C156:C175)</f>
        <v>1318268.4500000002</v>
      </c>
      <c r="D176" s="304">
        <f>SUM(D156:D175)</f>
        <v>728890.37</v>
      </c>
      <c r="E176" s="304">
        <f>SUM(E156:E175)</f>
        <v>718855.89</v>
      </c>
      <c r="F176" s="304">
        <f>SUM(F156:F175)</f>
        <v>1447746.26</v>
      </c>
      <c r="G176" s="304">
        <f>SUM(G158:G175)</f>
        <v>1616126.95</v>
      </c>
    </row>
    <row r="177" spans="1:7" ht="15.75" x14ac:dyDescent="0.25">
      <c r="A177" s="305"/>
      <c r="B177" s="306"/>
      <c r="C177" s="307"/>
      <c r="D177" s="307"/>
      <c r="E177" s="307"/>
      <c r="F177" s="307"/>
      <c r="G177" s="307"/>
    </row>
    <row r="178" spans="1:7" ht="15.75" x14ac:dyDescent="0.25">
      <c r="A178" s="252"/>
      <c r="B178" s="253"/>
      <c r="C178" s="253"/>
      <c r="D178" s="253"/>
      <c r="E178" s="253"/>
      <c r="F178" s="253"/>
      <c r="G178" s="269" t="s">
        <v>791</v>
      </c>
    </row>
    <row r="179" spans="1:7" ht="15.75" x14ac:dyDescent="0.25">
      <c r="A179" s="252"/>
      <c r="B179" s="253"/>
      <c r="C179" s="253"/>
      <c r="D179" s="253"/>
      <c r="E179" s="253"/>
      <c r="F179" s="253"/>
      <c r="G179" s="269"/>
    </row>
    <row r="180" spans="1:7" ht="15.75" x14ac:dyDescent="0.25">
      <c r="A180" s="252"/>
      <c r="B180" s="253"/>
      <c r="C180" s="253"/>
      <c r="D180" s="253"/>
      <c r="E180" s="253"/>
      <c r="F180" s="253"/>
      <c r="G180" s="269"/>
    </row>
    <row r="181" spans="1:7" ht="15.75" x14ac:dyDescent="0.25">
      <c r="A181" s="252"/>
      <c r="B181" s="253"/>
      <c r="C181" s="253"/>
      <c r="D181" s="253"/>
      <c r="E181" s="253"/>
      <c r="F181" s="253"/>
      <c r="G181" s="269"/>
    </row>
    <row r="182" spans="1:7" ht="15.75" x14ac:dyDescent="0.25">
      <c r="A182" s="252"/>
      <c r="B182" s="253"/>
      <c r="C182" s="253"/>
      <c r="D182" s="253"/>
      <c r="E182" s="253"/>
      <c r="F182" s="253"/>
      <c r="G182" s="269"/>
    </row>
    <row r="183" spans="1:7" ht="16.5" x14ac:dyDescent="0.25">
      <c r="A183" s="248" t="s">
        <v>674</v>
      </c>
      <c r="B183" s="249"/>
      <c r="C183" s="249"/>
      <c r="D183" s="249"/>
      <c r="E183" s="249"/>
      <c r="F183" s="249" t="s">
        <v>655</v>
      </c>
      <c r="G183" s="250" t="s">
        <v>675</v>
      </c>
    </row>
    <row r="184" spans="1:7" ht="18" x14ac:dyDescent="0.25">
      <c r="A184" s="350" t="s">
        <v>792</v>
      </c>
      <c r="B184" s="350"/>
      <c r="C184" s="350"/>
      <c r="D184" s="350"/>
      <c r="E184" s="350"/>
      <c r="F184" s="350"/>
      <c r="G184" s="350"/>
    </row>
    <row r="185" spans="1:7" ht="18" x14ac:dyDescent="0.25">
      <c r="A185" s="251"/>
      <c r="B185" s="251"/>
      <c r="C185" s="251"/>
      <c r="D185" s="251"/>
      <c r="E185" s="251"/>
      <c r="F185" s="251"/>
      <c r="G185" s="251"/>
    </row>
    <row r="186" spans="1:7" ht="15.75" x14ac:dyDescent="0.25">
      <c r="A186" s="252" t="s">
        <v>783</v>
      </c>
      <c r="B186" s="253"/>
      <c r="C186" s="253"/>
      <c r="D186" s="253"/>
      <c r="E186" s="253"/>
      <c r="F186" s="253" t="s">
        <v>655</v>
      </c>
      <c r="G186" s="253" t="s">
        <v>655</v>
      </c>
    </row>
    <row r="187" spans="1:7" ht="15.75" x14ac:dyDescent="0.25">
      <c r="A187" s="252"/>
      <c r="B187" s="253"/>
      <c r="C187" s="253"/>
      <c r="D187" s="253"/>
      <c r="E187" s="253"/>
      <c r="F187" s="253"/>
      <c r="G187" s="253"/>
    </row>
    <row r="188" spans="1:7" ht="15.75" x14ac:dyDescent="0.25">
      <c r="A188" s="351" t="s">
        <v>678</v>
      </c>
      <c r="B188" s="254" t="s">
        <v>679</v>
      </c>
      <c r="C188" s="254" t="s">
        <v>680</v>
      </c>
      <c r="D188" s="353" t="s">
        <v>681</v>
      </c>
      <c r="E188" s="354"/>
      <c r="F188" s="355"/>
      <c r="G188" s="254" t="s">
        <v>682</v>
      </c>
    </row>
    <row r="189" spans="1:7" ht="15.75" x14ac:dyDescent="0.25">
      <c r="A189" s="352"/>
      <c r="B189" s="255" t="s">
        <v>683</v>
      </c>
      <c r="C189" s="255" t="s">
        <v>684</v>
      </c>
      <c r="D189" s="255" t="s">
        <v>92</v>
      </c>
      <c r="E189" s="255" t="s">
        <v>93</v>
      </c>
      <c r="F189" s="356" t="s">
        <v>25</v>
      </c>
      <c r="G189" s="255" t="s">
        <v>454</v>
      </c>
    </row>
    <row r="190" spans="1:7" ht="15.75" x14ac:dyDescent="0.25">
      <c r="A190" s="352"/>
      <c r="B190" s="255"/>
      <c r="C190" s="255"/>
      <c r="D190" s="256" t="s">
        <v>684</v>
      </c>
      <c r="E190" s="256" t="s">
        <v>685</v>
      </c>
      <c r="F190" s="357"/>
      <c r="G190" s="255"/>
    </row>
    <row r="191" spans="1:7" ht="15.75" x14ac:dyDescent="0.25">
      <c r="A191" s="257" t="s">
        <v>686</v>
      </c>
      <c r="B191" s="258" t="s">
        <v>687</v>
      </c>
      <c r="C191" s="258" t="s">
        <v>688</v>
      </c>
      <c r="D191" s="259" t="s">
        <v>689</v>
      </c>
      <c r="E191" s="258" t="s">
        <v>690</v>
      </c>
      <c r="F191" s="258" t="s">
        <v>691</v>
      </c>
      <c r="G191" s="258" t="s">
        <v>692</v>
      </c>
    </row>
    <row r="192" spans="1:7" ht="15.75" x14ac:dyDescent="0.25">
      <c r="A192" s="308"/>
      <c r="B192" s="309"/>
      <c r="C192" s="255"/>
      <c r="D192" s="310"/>
      <c r="E192" s="310"/>
      <c r="F192" s="310"/>
      <c r="G192" s="255"/>
    </row>
    <row r="193" spans="1:7" ht="31.5" x14ac:dyDescent="0.25">
      <c r="A193" s="311" t="s">
        <v>793</v>
      </c>
      <c r="B193" s="263"/>
      <c r="C193" s="263"/>
      <c r="D193" s="263"/>
      <c r="E193" s="263"/>
      <c r="F193" s="263"/>
      <c r="G193" s="263"/>
    </row>
    <row r="194" spans="1:7" ht="15.75" x14ac:dyDescent="0.25">
      <c r="A194" s="282"/>
      <c r="B194" s="263"/>
      <c r="C194" s="263"/>
      <c r="D194" s="263"/>
      <c r="E194" s="263"/>
      <c r="F194" s="263"/>
      <c r="G194" s="263"/>
    </row>
    <row r="195" spans="1:7" ht="15.75" x14ac:dyDescent="0.25">
      <c r="A195" s="262" t="s">
        <v>724</v>
      </c>
      <c r="B195" s="264" t="s">
        <v>505</v>
      </c>
      <c r="C195" s="48">
        <v>49337.34</v>
      </c>
      <c r="D195" s="48">
        <v>21980</v>
      </c>
      <c r="E195" s="48">
        <v>33020</v>
      </c>
      <c r="F195" s="48">
        <f>E195+D195</f>
        <v>55000</v>
      </c>
      <c r="G195" s="48">
        <v>59000</v>
      </c>
    </row>
    <row r="196" spans="1:7" ht="15.75" x14ac:dyDescent="0.25">
      <c r="A196" s="262" t="s">
        <v>725</v>
      </c>
      <c r="B196" s="264" t="s">
        <v>532</v>
      </c>
      <c r="C196" s="48">
        <v>86394.4</v>
      </c>
      <c r="D196" s="48">
        <v>41013.199999999997</v>
      </c>
      <c r="E196" s="48">
        <v>15886.8</v>
      </c>
      <c r="F196" s="48">
        <f>E196+D196</f>
        <v>56900</v>
      </c>
      <c r="G196" s="48">
        <v>50800</v>
      </c>
    </row>
    <row r="197" spans="1:7" ht="15.75" x14ac:dyDescent="0.25">
      <c r="A197" s="262" t="s">
        <v>729</v>
      </c>
      <c r="B197" s="264" t="s">
        <v>568</v>
      </c>
      <c r="C197" s="48">
        <v>20352</v>
      </c>
      <c r="D197" s="48">
        <v>12508</v>
      </c>
      <c r="E197" s="48">
        <v>12692</v>
      </c>
      <c r="F197" s="48">
        <f>E197+D197</f>
        <v>25200</v>
      </c>
      <c r="G197" s="48">
        <v>30000</v>
      </c>
    </row>
    <row r="198" spans="1:7" ht="15.75" x14ac:dyDescent="0.25">
      <c r="A198" s="262" t="s">
        <v>794</v>
      </c>
      <c r="B198" s="264" t="s">
        <v>529</v>
      </c>
      <c r="C198" s="48">
        <v>500</v>
      </c>
      <c r="D198" s="48">
        <v>1800</v>
      </c>
      <c r="E198" s="48">
        <v>15400</v>
      </c>
      <c r="F198" s="48">
        <f>E198+D198</f>
        <v>17200</v>
      </c>
      <c r="G198" s="48">
        <v>15000</v>
      </c>
    </row>
    <row r="199" spans="1:7" ht="15.75" x14ac:dyDescent="0.25">
      <c r="A199" s="262" t="s">
        <v>795</v>
      </c>
      <c r="B199" s="264" t="s">
        <v>545</v>
      </c>
      <c r="C199" s="274">
        <v>0</v>
      </c>
      <c r="D199" s="274">
        <v>0</v>
      </c>
      <c r="E199" s="274">
        <v>2500</v>
      </c>
      <c r="F199" s="48">
        <f>E199+D199</f>
        <v>2500</v>
      </c>
      <c r="G199" s="274">
        <v>2000</v>
      </c>
    </row>
    <row r="200" spans="1:7" ht="15.75" x14ac:dyDescent="0.25">
      <c r="A200" s="294" t="s">
        <v>281</v>
      </c>
      <c r="B200" s="263"/>
      <c r="C200" s="312">
        <f>SUM(C195:C199)</f>
        <v>156583.74</v>
      </c>
      <c r="D200" s="312">
        <f>SUM(D195:D199)</f>
        <v>77301.2</v>
      </c>
      <c r="E200" s="312">
        <f>SUM(E195:E199)</f>
        <v>79498.8</v>
      </c>
      <c r="F200" s="312">
        <f>SUM(F195:F199)</f>
        <v>156800</v>
      </c>
      <c r="G200" s="312">
        <f>SUM(G195:G199)</f>
        <v>156800</v>
      </c>
    </row>
    <row r="201" spans="1:7" ht="15.75" x14ac:dyDescent="0.25">
      <c r="A201" s="262"/>
      <c r="B201" s="263"/>
      <c r="C201" s="263"/>
      <c r="D201" s="263"/>
      <c r="E201" s="263"/>
      <c r="F201" s="48"/>
      <c r="G201" s="48"/>
    </row>
    <row r="202" spans="1:7" ht="15.75" x14ac:dyDescent="0.25">
      <c r="A202" s="302" t="s">
        <v>796</v>
      </c>
      <c r="B202" s="263"/>
      <c r="C202" s="263"/>
      <c r="D202" s="263"/>
      <c r="E202" s="263"/>
      <c r="F202" s="48"/>
      <c r="G202" s="48"/>
    </row>
    <row r="203" spans="1:7" ht="15.75" x14ac:dyDescent="0.25">
      <c r="A203" s="262" t="s">
        <v>655</v>
      </c>
      <c r="B203" s="263"/>
      <c r="C203" s="263"/>
      <c r="D203" s="263"/>
      <c r="E203" s="263"/>
      <c r="F203" s="48">
        <v>0</v>
      </c>
      <c r="G203" s="48"/>
    </row>
    <row r="204" spans="1:7" ht="15.75" x14ac:dyDescent="0.25">
      <c r="A204" s="294" t="s">
        <v>282</v>
      </c>
      <c r="B204" s="263" t="s">
        <v>797</v>
      </c>
      <c r="C204" s="292"/>
      <c r="D204" s="292"/>
      <c r="E204" s="292"/>
      <c r="F204" s="312">
        <f>SUM(F203)</f>
        <v>0</v>
      </c>
      <c r="G204" s="312"/>
    </row>
    <row r="205" spans="1:7" ht="15.75" x14ac:dyDescent="0.25">
      <c r="A205" s="262"/>
      <c r="B205" s="263"/>
      <c r="C205" s="48"/>
      <c r="D205" s="48"/>
      <c r="E205" s="48"/>
      <c r="F205" s="48"/>
      <c r="G205" s="48"/>
    </row>
    <row r="206" spans="1:7" ht="15.75" x14ac:dyDescent="0.25">
      <c r="A206" s="265" t="s">
        <v>279</v>
      </c>
      <c r="B206" s="313"/>
      <c r="C206" s="304">
        <f>SUM(C200+C176)</f>
        <v>1474852.1900000002</v>
      </c>
      <c r="D206" s="304">
        <f>SUM(D200+D176)</f>
        <v>806191.57</v>
      </c>
      <c r="E206" s="304">
        <f>SUM(E200+E176)</f>
        <v>798354.69000000006</v>
      </c>
      <c r="F206" s="304">
        <f>SUM(F200+F176)</f>
        <v>1604546.26</v>
      </c>
      <c r="G206" s="304">
        <f>SUM(G200+G176)</f>
        <v>1772926.95</v>
      </c>
    </row>
    <row r="207" spans="1:7" ht="15.75" x14ac:dyDescent="0.25">
      <c r="A207" s="252"/>
      <c r="B207" s="253"/>
      <c r="C207" s="253"/>
      <c r="D207" s="253"/>
      <c r="E207" s="253"/>
      <c r="F207" s="253"/>
      <c r="G207" s="253" t="s">
        <v>655</v>
      </c>
    </row>
    <row r="208" spans="1:7" ht="16.5" x14ac:dyDescent="0.25">
      <c r="A208" s="252" t="s">
        <v>798</v>
      </c>
      <c r="B208" s="253" t="s">
        <v>799</v>
      </c>
      <c r="C208" s="253"/>
      <c r="D208" s="253"/>
      <c r="E208" s="253" t="s">
        <v>651</v>
      </c>
      <c r="F208" s="314"/>
      <c r="G208" s="253"/>
    </row>
    <row r="209" spans="1:7" ht="15.75" x14ac:dyDescent="0.25">
      <c r="A209" s="252"/>
      <c r="B209" s="253"/>
      <c r="C209" s="253"/>
      <c r="D209" s="253"/>
      <c r="E209" s="253"/>
      <c r="F209" s="253"/>
      <c r="G209" s="253"/>
    </row>
    <row r="210" spans="1:7" ht="15.75" x14ac:dyDescent="0.25">
      <c r="A210" s="252"/>
      <c r="B210" s="253"/>
      <c r="C210" s="253"/>
      <c r="D210" s="253"/>
      <c r="E210" s="253"/>
      <c r="F210" s="253"/>
      <c r="G210" s="253"/>
    </row>
    <row r="211" spans="1:7" ht="15.75" x14ac:dyDescent="0.25">
      <c r="A211" s="296" t="s">
        <v>656</v>
      </c>
      <c r="B211" s="359" t="s">
        <v>800</v>
      </c>
      <c r="C211" s="359"/>
      <c r="D211" s="359"/>
      <c r="E211" s="359" t="s">
        <v>778</v>
      </c>
      <c r="F211" s="359"/>
      <c r="G211" s="359"/>
    </row>
    <row r="212" spans="1:7" ht="15.75" x14ac:dyDescent="0.25">
      <c r="A212" s="298" t="s">
        <v>801</v>
      </c>
      <c r="B212" s="360" t="s">
        <v>780</v>
      </c>
      <c r="C212" s="360"/>
      <c r="D212" s="360"/>
      <c r="E212" s="300"/>
      <c r="F212" s="315" t="s">
        <v>802</v>
      </c>
      <c r="G212" s="315"/>
    </row>
    <row r="219" spans="1:7" ht="16.5" x14ac:dyDescent="0.25">
      <c r="A219" s="248" t="s">
        <v>674</v>
      </c>
      <c r="B219" s="249"/>
      <c r="C219" s="249"/>
      <c r="D219" s="249"/>
      <c r="E219" s="249"/>
      <c r="F219" s="249" t="s">
        <v>655</v>
      </c>
      <c r="G219" s="250" t="s">
        <v>675</v>
      </c>
    </row>
    <row r="220" spans="1:7" ht="18" x14ac:dyDescent="0.25">
      <c r="A220" s="350" t="s">
        <v>792</v>
      </c>
      <c r="B220" s="350"/>
      <c r="C220" s="350"/>
      <c r="D220" s="350"/>
      <c r="E220" s="350"/>
      <c r="F220" s="350"/>
      <c r="G220" s="350"/>
    </row>
    <row r="221" spans="1:7" ht="18" x14ac:dyDescent="0.25">
      <c r="A221" s="251"/>
      <c r="B221" s="251"/>
      <c r="C221" s="251"/>
      <c r="D221" s="251"/>
      <c r="E221" s="251"/>
      <c r="F221" s="251"/>
      <c r="G221" s="251"/>
    </row>
    <row r="222" spans="1:7" ht="15.75" x14ac:dyDescent="0.25">
      <c r="A222" s="252" t="s">
        <v>803</v>
      </c>
      <c r="B222" s="253"/>
      <c r="C222" s="253"/>
      <c r="D222" s="253"/>
      <c r="E222" s="253"/>
      <c r="F222" s="253" t="s">
        <v>655</v>
      </c>
      <c r="G222" s="253" t="s">
        <v>655</v>
      </c>
    </row>
    <row r="223" spans="1:7" ht="15.75" x14ac:dyDescent="0.25">
      <c r="A223" s="252"/>
      <c r="B223" s="253"/>
      <c r="C223" s="253"/>
      <c r="D223" s="253"/>
      <c r="E223" s="253"/>
      <c r="F223" s="253"/>
      <c r="G223" s="253"/>
    </row>
    <row r="224" spans="1:7" ht="15.75" x14ac:dyDescent="0.25">
      <c r="A224" s="351" t="s">
        <v>678</v>
      </c>
      <c r="B224" s="254" t="s">
        <v>679</v>
      </c>
      <c r="C224" s="254" t="s">
        <v>680</v>
      </c>
      <c r="D224" s="353" t="s">
        <v>681</v>
      </c>
      <c r="E224" s="354"/>
      <c r="F224" s="355"/>
      <c r="G224" s="254" t="s">
        <v>682</v>
      </c>
    </row>
    <row r="225" spans="1:7" ht="15.75" x14ac:dyDescent="0.25">
      <c r="A225" s="352"/>
      <c r="B225" s="255" t="s">
        <v>683</v>
      </c>
      <c r="C225" s="255" t="s">
        <v>684</v>
      </c>
      <c r="D225" s="255" t="s">
        <v>92</v>
      </c>
      <c r="E225" s="255" t="s">
        <v>93</v>
      </c>
      <c r="F225" s="356" t="s">
        <v>25</v>
      </c>
      <c r="G225" s="255" t="s">
        <v>454</v>
      </c>
    </row>
    <row r="226" spans="1:7" ht="15.75" x14ac:dyDescent="0.25">
      <c r="A226" s="352"/>
      <c r="B226" s="255"/>
      <c r="C226" s="255"/>
      <c r="D226" s="256" t="s">
        <v>684</v>
      </c>
      <c r="E226" s="256" t="s">
        <v>685</v>
      </c>
      <c r="F226" s="357"/>
      <c r="G226" s="255"/>
    </row>
    <row r="227" spans="1:7" ht="15.75" x14ac:dyDescent="0.25">
      <c r="A227" s="257" t="s">
        <v>686</v>
      </c>
      <c r="B227" s="258" t="s">
        <v>687</v>
      </c>
      <c r="C227" s="258" t="s">
        <v>688</v>
      </c>
      <c r="D227" s="259" t="s">
        <v>689</v>
      </c>
      <c r="E227" s="258" t="s">
        <v>690</v>
      </c>
      <c r="F227" s="258" t="s">
        <v>691</v>
      </c>
      <c r="G227" s="258" t="s">
        <v>692</v>
      </c>
    </row>
    <row r="228" spans="1:7" ht="15.75" x14ac:dyDescent="0.25">
      <c r="A228" s="260" t="s">
        <v>693</v>
      </c>
      <c r="B228" s="261"/>
      <c r="C228" s="261"/>
      <c r="D228" s="263"/>
      <c r="E228" s="263"/>
      <c r="F228" s="263"/>
      <c r="G228" s="263"/>
    </row>
    <row r="229" spans="1:7" ht="15.75" x14ac:dyDescent="0.25">
      <c r="A229" s="302" t="s">
        <v>784</v>
      </c>
      <c r="B229" s="263"/>
      <c r="C229" s="263"/>
      <c r="D229" s="263"/>
      <c r="E229" s="263"/>
      <c r="F229" s="263"/>
      <c r="G229" s="263"/>
    </row>
    <row r="230" spans="1:7" ht="15.75" x14ac:dyDescent="0.25">
      <c r="A230" s="262" t="s">
        <v>695</v>
      </c>
      <c r="B230" s="264" t="s">
        <v>505</v>
      </c>
      <c r="C230" s="274">
        <v>5362428</v>
      </c>
      <c r="D230" s="274">
        <v>3073842</v>
      </c>
      <c r="E230" s="274">
        <v>3483759</v>
      </c>
      <c r="F230" s="274">
        <f>SUM(D230:E230)</f>
        <v>6557601</v>
      </c>
      <c r="G230" s="274">
        <v>7573884</v>
      </c>
    </row>
    <row r="231" spans="1:7" ht="15.75" x14ac:dyDescent="0.25">
      <c r="A231" s="262" t="s">
        <v>696</v>
      </c>
      <c r="B231" s="264" t="s">
        <v>521</v>
      </c>
      <c r="C231" s="274">
        <v>643491.36</v>
      </c>
      <c r="D231" s="274">
        <v>368861.04</v>
      </c>
      <c r="E231" s="274">
        <v>431483.76</v>
      </c>
      <c r="F231" s="274">
        <f t="shared" ref="F231:F248" si="4">SUM(D231:E231)</f>
        <v>800344.8</v>
      </c>
      <c r="G231" s="274">
        <v>908866.08</v>
      </c>
    </row>
    <row r="232" spans="1:7" ht="15.75" x14ac:dyDescent="0.25">
      <c r="A232" s="262" t="s">
        <v>697</v>
      </c>
      <c r="B232" s="264" t="s">
        <v>527</v>
      </c>
      <c r="C232" s="274">
        <v>30494.49</v>
      </c>
      <c r="D232" s="274">
        <v>590563.42000000004</v>
      </c>
      <c r="E232" s="274">
        <v>9436.58</v>
      </c>
      <c r="F232" s="274">
        <f t="shared" si="4"/>
        <v>600000</v>
      </c>
      <c r="G232" s="274">
        <v>912514.8</v>
      </c>
    </row>
    <row r="233" spans="1:7" ht="15.75" x14ac:dyDescent="0.25">
      <c r="A233" s="262" t="s">
        <v>698</v>
      </c>
      <c r="B233" s="264" t="s">
        <v>508</v>
      </c>
      <c r="C233" s="274">
        <v>324000</v>
      </c>
      <c r="D233" s="274">
        <v>168000</v>
      </c>
      <c r="E233" s="274">
        <v>186000</v>
      </c>
      <c r="F233" s="274">
        <f t="shared" si="4"/>
        <v>354000</v>
      </c>
      <c r="G233" s="274">
        <v>360000</v>
      </c>
    </row>
    <row r="234" spans="1:7" ht="15.75" x14ac:dyDescent="0.25">
      <c r="A234" s="262" t="s">
        <v>699</v>
      </c>
      <c r="B234" s="264" t="s">
        <v>664</v>
      </c>
      <c r="C234" s="274">
        <v>15000</v>
      </c>
      <c r="D234" s="274">
        <v>0</v>
      </c>
      <c r="E234" s="274">
        <v>0</v>
      </c>
      <c r="F234" s="274">
        <f t="shared" si="4"/>
        <v>0</v>
      </c>
      <c r="G234" s="274">
        <v>0</v>
      </c>
    </row>
    <row r="235" spans="1:7" ht="15.75" x14ac:dyDescent="0.25">
      <c r="A235" s="262" t="s">
        <v>700</v>
      </c>
      <c r="B235" s="264" t="s">
        <v>522</v>
      </c>
      <c r="C235" s="274">
        <v>107248.56</v>
      </c>
      <c r="D235" s="274">
        <v>61476.84</v>
      </c>
      <c r="E235" s="274">
        <v>71913.960000000006</v>
      </c>
      <c r="F235" s="274">
        <f t="shared" si="4"/>
        <v>133390.79999999999</v>
      </c>
      <c r="G235" s="274">
        <v>151477.68</v>
      </c>
    </row>
    <row r="236" spans="1:7" ht="15.75" x14ac:dyDescent="0.25">
      <c r="A236" s="262" t="s">
        <v>701</v>
      </c>
      <c r="B236" s="264" t="s">
        <v>523</v>
      </c>
      <c r="C236" s="274">
        <v>62250</v>
      </c>
      <c r="D236" s="274">
        <v>31500</v>
      </c>
      <c r="E236" s="274">
        <v>37050</v>
      </c>
      <c r="F236" s="274">
        <f t="shared" si="4"/>
        <v>68550</v>
      </c>
      <c r="G236" s="274">
        <v>68250</v>
      </c>
    </row>
    <row r="237" spans="1:7" ht="15.75" x14ac:dyDescent="0.25">
      <c r="A237" s="262" t="s">
        <v>702</v>
      </c>
      <c r="B237" s="264" t="s">
        <v>524</v>
      </c>
      <c r="C237" s="274">
        <v>16068.06</v>
      </c>
      <c r="D237" s="274">
        <v>8286.11</v>
      </c>
      <c r="E237" s="274">
        <v>58409.29</v>
      </c>
      <c r="F237" s="274">
        <f t="shared" si="4"/>
        <v>66695.399999999994</v>
      </c>
      <c r="G237" s="274">
        <v>75738.84</v>
      </c>
    </row>
    <row r="238" spans="1:7" ht="15.75" x14ac:dyDescent="0.25">
      <c r="A238" s="262" t="s">
        <v>785</v>
      </c>
      <c r="B238" s="264" t="s">
        <v>704</v>
      </c>
      <c r="C238" s="274"/>
      <c r="D238" s="274">
        <v>512307</v>
      </c>
      <c r="E238" s="274">
        <v>42458</v>
      </c>
      <c r="F238" s="274">
        <f t="shared" si="4"/>
        <v>554765</v>
      </c>
      <c r="G238" s="274">
        <v>631157</v>
      </c>
    </row>
    <row r="239" spans="1:7" ht="15.75" x14ac:dyDescent="0.25">
      <c r="A239" s="262" t="s">
        <v>705</v>
      </c>
      <c r="B239" s="264" t="s">
        <v>704</v>
      </c>
      <c r="C239" s="274">
        <v>450783</v>
      </c>
      <c r="D239" s="274">
        <v>127409.8</v>
      </c>
      <c r="E239" s="274">
        <v>429415.2</v>
      </c>
      <c r="F239" s="274">
        <f t="shared" si="4"/>
        <v>556825</v>
      </c>
      <c r="G239" s="274">
        <v>631157</v>
      </c>
    </row>
    <row r="240" spans="1:7" ht="15.75" x14ac:dyDescent="0.25">
      <c r="A240" s="262" t="s">
        <v>706</v>
      </c>
      <c r="B240" s="264" t="s">
        <v>707</v>
      </c>
      <c r="C240" s="274">
        <v>70000</v>
      </c>
      <c r="D240" s="274">
        <v>40000</v>
      </c>
      <c r="E240" s="274">
        <v>35000</v>
      </c>
      <c r="F240" s="274">
        <f t="shared" si="4"/>
        <v>75000</v>
      </c>
      <c r="G240" s="274">
        <v>75000</v>
      </c>
    </row>
    <row r="241" spans="1:7" ht="15.75" x14ac:dyDescent="0.25">
      <c r="A241" s="262" t="s">
        <v>786</v>
      </c>
      <c r="B241" s="264" t="s">
        <v>709</v>
      </c>
      <c r="C241" s="274">
        <v>751500</v>
      </c>
      <c r="D241" s="274">
        <v>375750</v>
      </c>
      <c r="E241" s="274">
        <v>426375</v>
      </c>
      <c r="F241" s="274">
        <f t="shared" si="4"/>
        <v>802125</v>
      </c>
      <c r="G241" s="274">
        <v>819000</v>
      </c>
    </row>
    <row r="242" spans="1:7" ht="15.75" x14ac:dyDescent="0.25">
      <c r="A242" s="262" t="s">
        <v>787</v>
      </c>
      <c r="B242" s="264" t="s">
        <v>510</v>
      </c>
      <c r="C242" s="274">
        <v>751500</v>
      </c>
      <c r="D242" s="274">
        <v>375750</v>
      </c>
      <c r="E242" s="274">
        <v>426375</v>
      </c>
      <c r="F242" s="274">
        <f t="shared" si="4"/>
        <v>802125</v>
      </c>
      <c r="G242" s="274">
        <v>819000</v>
      </c>
    </row>
    <row r="243" spans="1:7" ht="15.75" x14ac:dyDescent="0.25">
      <c r="A243" s="262" t="s">
        <v>788</v>
      </c>
      <c r="B243" s="264" t="s">
        <v>712</v>
      </c>
      <c r="C243" s="274">
        <v>65000</v>
      </c>
      <c r="D243" s="274">
        <v>70000</v>
      </c>
      <c r="E243" s="274">
        <v>5000</v>
      </c>
      <c r="F243" s="274">
        <f t="shared" si="4"/>
        <v>75000</v>
      </c>
      <c r="G243" s="274">
        <v>75000</v>
      </c>
    </row>
    <row r="244" spans="1:7" ht="15.75" x14ac:dyDescent="0.25">
      <c r="A244" s="262" t="s">
        <v>804</v>
      </c>
      <c r="B244" s="264" t="s">
        <v>789</v>
      </c>
      <c r="C244" s="274">
        <v>0</v>
      </c>
      <c r="D244" s="274">
        <v>0</v>
      </c>
      <c r="E244" s="274">
        <v>0</v>
      </c>
      <c r="F244" s="274">
        <f t="shared" si="4"/>
        <v>0</v>
      </c>
      <c r="G244" s="274">
        <v>5000</v>
      </c>
    </row>
    <row r="245" spans="1:7" ht="15.75" x14ac:dyDescent="0.25">
      <c r="A245" s="262" t="s">
        <v>717</v>
      </c>
      <c r="B245" s="264" t="s">
        <v>527</v>
      </c>
      <c r="C245" s="274">
        <v>60595.39</v>
      </c>
      <c r="D245" s="274"/>
      <c r="E245" s="274">
        <v>75000</v>
      </c>
      <c r="F245" s="274">
        <f t="shared" si="4"/>
        <v>75000</v>
      </c>
      <c r="G245" s="274">
        <v>0</v>
      </c>
    </row>
    <row r="246" spans="1:7" ht="15.75" x14ac:dyDescent="0.25">
      <c r="A246" s="262" t="s">
        <v>805</v>
      </c>
      <c r="B246" s="264" t="s">
        <v>526</v>
      </c>
      <c r="C246" s="274">
        <v>0</v>
      </c>
      <c r="D246" s="274">
        <v>0</v>
      </c>
      <c r="E246" s="274">
        <v>332407.53000000003</v>
      </c>
      <c r="F246" s="274">
        <f t="shared" si="4"/>
        <v>332407.53000000003</v>
      </c>
      <c r="G246" s="274">
        <v>0</v>
      </c>
    </row>
    <row r="247" spans="1:7" ht="15.75" x14ac:dyDescent="0.25">
      <c r="A247" s="262" t="s">
        <v>790</v>
      </c>
      <c r="B247" s="264" t="s">
        <v>527</v>
      </c>
      <c r="C247" s="274"/>
      <c r="D247" s="274">
        <v>8000</v>
      </c>
      <c r="E247" s="274">
        <v>0</v>
      </c>
      <c r="F247" s="274">
        <f t="shared" si="4"/>
        <v>8000</v>
      </c>
      <c r="G247" s="274"/>
    </row>
    <row r="248" spans="1:7" ht="15.75" x14ac:dyDescent="0.25">
      <c r="A248" s="262" t="s">
        <v>721</v>
      </c>
      <c r="B248" s="264" t="s">
        <v>527</v>
      </c>
      <c r="C248" s="284">
        <v>442982</v>
      </c>
      <c r="D248" s="284">
        <v>0</v>
      </c>
      <c r="E248" s="284">
        <v>75000</v>
      </c>
      <c r="F248" s="274">
        <f t="shared" si="4"/>
        <v>75000</v>
      </c>
      <c r="G248" s="48">
        <v>75000</v>
      </c>
    </row>
    <row r="249" spans="1:7" ht="15.75" x14ac:dyDescent="0.25">
      <c r="A249" s="265" t="s">
        <v>722</v>
      </c>
      <c r="B249" s="313" t="s">
        <v>655</v>
      </c>
      <c r="C249" s="267">
        <f>SUM(C228:C248)</f>
        <v>9153340.8599999994</v>
      </c>
      <c r="D249" s="267">
        <f>SUM(D228:D248)</f>
        <v>5811746.21</v>
      </c>
      <c r="E249" s="267">
        <f>SUM(E228:E248)</f>
        <v>6125083.3200000003</v>
      </c>
      <c r="F249" s="267">
        <f>SUM(F228:F248)</f>
        <v>11936829.529999999</v>
      </c>
      <c r="G249" s="267">
        <f>SUM(G230:G248)</f>
        <v>13181045.4</v>
      </c>
    </row>
    <row r="250" spans="1:7" ht="15.75" x14ac:dyDescent="0.25">
      <c r="A250" s="252"/>
      <c r="B250" s="253"/>
      <c r="C250" s="253"/>
      <c r="D250" s="253"/>
      <c r="E250" s="253"/>
      <c r="F250" s="253"/>
      <c r="G250" s="253"/>
    </row>
    <row r="251" spans="1:7" ht="15.75" x14ac:dyDescent="0.25">
      <c r="A251" s="252"/>
      <c r="B251" s="253"/>
      <c r="C251" s="253"/>
      <c r="D251" s="253"/>
      <c r="E251" s="253"/>
      <c r="F251" s="253"/>
      <c r="G251" s="253"/>
    </row>
    <row r="252" spans="1:7" ht="15.75" x14ac:dyDescent="0.25">
      <c r="A252" s="252"/>
      <c r="B252" s="253"/>
      <c r="C252" s="253"/>
      <c r="D252" s="253"/>
      <c r="E252" s="253"/>
      <c r="F252" s="253"/>
      <c r="G252" s="269" t="s">
        <v>806</v>
      </c>
    </row>
    <row r="253" spans="1:7" ht="15.75" x14ac:dyDescent="0.25">
      <c r="A253" s="252"/>
      <c r="B253" s="253"/>
      <c r="C253" s="253"/>
      <c r="D253" s="253"/>
      <c r="E253" s="253"/>
      <c r="F253" s="253"/>
      <c r="G253" s="269"/>
    </row>
    <row r="254" spans="1:7" ht="15.75" x14ac:dyDescent="0.25">
      <c r="A254" s="252"/>
      <c r="B254" s="253"/>
      <c r="C254" s="253"/>
      <c r="D254" s="253"/>
      <c r="E254" s="253"/>
      <c r="F254" s="253"/>
      <c r="G254" s="269"/>
    </row>
    <row r="255" spans="1:7" ht="16.5" x14ac:dyDescent="0.25">
      <c r="A255" s="248" t="s">
        <v>674</v>
      </c>
      <c r="B255" s="249"/>
      <c r="C255" s="249"/>
      <c r="D255" s="249"/>
      <c r="E255" s="249"/>
      <c r="F255" s="249" t="s">
        <v>655</v>
      </c>
      <c r="G255" s="250" t="s">
        <v>675</v>
      </c>
    </row>
    <row r="256" spans="1:7" ht="18" x14ac:dyDescent="0.25">
      <c r="A256" s="350" t="s">
        <v>792</v>
      </c>
      <c r="B256" s="350"/>
      <c r="C256" s="350"/>
      <c r="D256" s="350"/>
      <c r="E256" s="350"/>
      <c r="F256" s="350"/>
      <c r="G256" s="350"/>
    </row>
    <row r="257" spans="1:7" ht="18" x14ac:dyDescent="0.25">
      <c r="A257" s="251"/>
      <c r="B257" s="251"/>
      <c r="C257" s="251"/>
      <c r="D257" s="251"/>
      <c r="E257" s="251"/>
      <c r="F257" s="251"/>
      <c r="G257" s="251"/>
    </row>
    <row r="258" spans="1:7" ht="15.75" x14ac:dyDescent="0.25">
      <c r="A258" s="252" t="s">
        <v>803</v>
      </c>
      <c r="B258" s="253"/>
      <c r="C258" s="253"/>
      <c r="D258" s="253"/>
      <c r="E258" s="253"/>
      <c r="F258" s="253" t="s">
        <v>655</v>
      </c>
      <c r="G258" s="253" t="s">
        <v>655</v>
      </c>
    </row>
    <row r="259" spans="1:7" ht="15.75" x14ac:dyDescent="0.25">
      <c r="A259" s="252"/>
      <c r="B259" s="253"/>
      <c r="C259" s="253"/>
      <c r="D259" s="253"/>
      <c r="E259" s="253"/>
      <c r="F259" s="253"/>
      <c r="G259" s="253"/>
    </row>
    <row r="260" spans="1:7" ht="15.75" x14ac:dyDescent="0.25">
      <c r="A260" s="351" t="s">
        <v>678</v>
      </c>
      <c r="B260" s="254" t="s">
        <v>679</v>
      </c>
      <c r="C260" s="254" t="s">
        <v>680</v>
      </c>
      <c r="D260" s="353" t="s">
        <v>681</v>
      </c>
      <c r="E260" s="354"/>
      <c r="F260" s="355"/>
      <c r="G260" s="254" t="s">
        <v>682</v>
      </c>
    </row>
    <row r="261" spans="1:7" ht="15.75" x14ac:dyDescent="0.25">
      <c r="A261" s="352"/>
      <c r="B261" s="255" t="s">
        <v>683</v>
      </c>
      <c r="C261" s="255" t="s">
        <v>684</v>
      </c>
      <c r="D261" s="255" t="s">
        <v>92</v>
      </c>
      <c r="E261" s="255" t="s">
        <v>93</v>
      </c>
      <c r="F261" s="356" t="s">
        <v>25</v>
      </c>
      <c r="G261" s="255" t="s">
        <v>454</v>
      </c>
    </row>
    <row r="262" spans="1:7" ht="15.75" x14ac:dyDescent="0.25">
      <c r="A262" s="352"/>
      <c r="B262" s="255"/>
      <c r="C262" s="255"/>
      <c r="D262" s="256" t="s">
        <v>684</v>
      </c>
      <c r="E262" s="256" t="s">
        <v>685</v>
      </c>
      <c r="F262" s="357"/>
      <c r="G262" s="255"/>
    </row>
    <row r="263" spans="1:7" ht="15.75" x14ac:dyDescent="0.25">
      <c r="A263" s="257" t="s">
        <v>686</v>
      </c>
      <c r="B263" s="258" t="s">
        <v>687</v>
      </c>
      <c r="C263" s="258" t="s">
        <v>688</v>
      </c>
      <c r="D263" s="259" t="s">
        <v>689</v>
      </c>
      <c r="E263" s="258" t="s">
        <v>690</v>
      </c>
      <c r="F263" s="258" t="s">
        <v>691</v>
      </c>
      <c r="G263" s="258" t="s">
        <v>692</v>
      </c>
    </row>
    <row r="264" spans="1:7" ht="15.75" x14ac:dyDescent="0.25">
      <c r="A264" s="308"/>
      <c r="B264" s="309"/>
      <c r="C264" s="309"/>
      <c r="D264" s="309"/>
      <c r="E264" s="309"/>
      <c r="F264" s="255"/>
      <c r="G264" s="255"/>
    </row>
    <row r="265" spans="1:7" ht="43.5" x14ac:dyDescent="0.25">
      <c r="A265" s="316" t="s">
        <v>807</v>
      </c>
      <c r="B265" s="263"/>
      <c r="C265" s="263"/>
      <c r="D265" s="263"/>
      <c r="E265" s="263"/>
      <c r="F265" s="263"/>
      <c r="G265" s="263"/>
    </row>
    <row r="266" spans="1:7" ht="15.75" x14ac:dyDescent="0.25">
      <c r="A266" s="262" t="s">
        <v>808</v>
      </c>
      <c r="B266" s="264" t="s">
        <v>528</v>
      </c>
      <c r="C266" s="48">
        <v>289231.57</v>
      </c>
      <c r="D266" s="48">
        <v>190195.33</v>
      </c>
      <c r="E266" s="48">
        <v>129804.67</v>
      </c>
      <c r="F266" s="274">
        <f t="shared" ref="F266:F276" si="5">SUM(D266:E266)</f>
        <v>320000</v>
      </c>
      <c r="G266" s="48">
        <v>340000</v>
      </c>
    </row>
    <row r="267" spans="1:7" ht="15.75" x14ac:dyDescent="0.25">
      <c r="A267" s="262" t="s">
        <v>725</v>
      </c>
      <c r="B267" s="264" t="s">
        <v>532</v>
      </c>
      <c r="C267" s="48">
        <v>145530.84</v>
      </c>
      <c r="D267" s="48">
        <v>84486.8</v>
      </c>
      <c r="E267" s="48">
        <v>115513.2</v>
      </c>
      <c r="F267" s="274">
        <f t="shared" si="5"/>
        <v>200000</v>
      </c>
      <c r="G267" s="48">
        <v>200000</v>
      </c>
    </row>
    <row r="268" spans="1:7" ht="15.75" x14ac:dyDescent="0.25">
      <c r="A268" s="262" t="s">
        <v>729</v>
      </c>
      <c r="B268" s="264" t="s">
        <v>568</v>
      </c>
      <c r="C268" s="48">
        <v>201206</v>
      </c>
      <c r="D268" s="48">
        <v>91902</v>
      </c>
      <c r="E268" s="48">
        <v>92098</v>
      </c>
      <c r="F268" s="274">
        <f t="shared" si="5"/>
        <v>184000</v>
      </c>
      <c r="G268" s="48">
        <v>320000</v>
      </c>
    </row>
    <row r="269" spans="1:7" ht="15.75" x14ac:dyDescent="0.25">
      <c r="A269" s="262" t="s">
        <v>809</v>
      </c>
      <c r="B269" s="264" t="s">
        <v>535</v>
      </c>
      <c r="C269" s="48">
        <v>104429.77</v>
      </c>
      <c r="D269" s="48">
        <v>7053.48</v>
      </c>
      <c r="E269" s="48">
        <v>112946.52</v>
      </c>
      <c r="F269" s="274">
        <f t="shared" si="5"/>
        <v>120000</v>
      </c>
      <c r="G269" s="48">
        <v>100000</v>
      </c>
    </row>
    <row r="270" spans="1:7" ht="15.75" x14ac:dyDescent="0.25">
      <c r="A270" s="262" t="s">
        <v>730</v>
      </c>
      <c r="B270" s="264" t="s">
        <v>529</v>
      </c>
      <c r="C270" s="48">
        <v>220400</v>
      </c>
      <c r="D270" s="48">
        <v>124100</v>
      </c>
      <c r="E270" s="48">
        <v>275900</v>
      </c>
      <c r="F270" s="274">
        <f t="shared" si="5"/>
        <v>400000</v>
      </c>
      <c r="G270" s="48">
        <v>340000</v>
      </c>
    </row>
    <row r="271" spans="1:7" ht="15.75" x14ac:dyDescent="0.25">
      <c r="A271" s="262" t="s">
        <v>810</v>
      </c>
      <c r="B271" s="264" t="s">
        <v>579</v>
      </c>
      <c r="C271" s="48">
        <v>38170</v>
      </c>
      <c r="D271" s="48">
        <v>28250</v>
      </c>
      <c r="E271" s="48">
        <v>171750</v>
      </c>
      <c r="F271" s="274">
        <f t="shared" si="5"/>
        <v>200000</v>
      </c>
      <c r="G271" s="48">
        <v>130000</v>
      </c>
    </row>
    <row r="272" spans="1:7" ht="15.75" x14ac:dyDescent="0.25">
      <c r="A272" s="262" t="s">
        <v>811</v>
      </c>
      <c r="B272" s="264" t="s">
        <v>572</v>
      </c>
      <c r="C272" s="48">
        <v>5000</v>
      </c>
      <c r="D272" s="48">
        <v>5005</v>
      </c>
      <c r="E272" s="48">
        <v>20995</v>
      </c>
      <c r="F272" s="274">
        <f t="shared" si="5"/>
        <v>26000</v>
      </c>
      <c r="G272" s="48">
        <v>40000</v>
      </c>
    </row>
    <row r="273" spans="1:7" ht="15.75" x14ac:dyDescent="0.25">
      <c r="A273" s="262" t="s">
        <v>763</v>
      </c>
      <c r="B273" s="46" t="s">
        <v>538</v>
      </c>
      <c r="C273" s="48">
        <v>1415</v>
      </c>
      <c r="D273" s="48">
        <v>0</v>
      </c>
      <c r="E273" s="48">
        <v>11000</v>
      </c>
      <c r="F273" s="274">
        <f t="shared" si="5"/>
        <v>11000</v>
      </c>
      <c r="G273" s="48">
        <v>8000</v>
      </c>
    </row>
    <row r="274" spans="1:7" ht="15.75" x14ac:dyDescent="0.25">
      <c r="A274" s="262" t="s">
        <v>812</v>
      </c>
      <c r="B274" s="264" t="s">
        <v>559</v>
      </c>
      <c r="C274" s="48">
        <v>0</v>
      </c>
      <c r="D274" s="48">
        <v>8400</v>
      </c>
      <c r="E274" s="48">
        <v>23600</v>
      </c>
      <c r="F274" s="274">
        <f t="shared" si="5"/>
        <v>32000</v>
      </c>
      <c r="G274" s="48">
        <v>15000</v>
      </c>
    </row>
    <row r="275" spans="1:7" ht="15.75" x14ac:dyDescent="0.25">
      <c r="A275" s="262" t="s">
        <v>764</v>
      </c>
      <c r="B275" s="264" t="s">
        <v>631</v>
      </c>
      <c r="C275" s="48">
        <v>0</v>
      </c>
      <c r="D275" s="48">
        <v>0</v>
      </c>
      <c r="E275" s="48">
        <v>5000</v>
      </c>
      <c r="F275" s="274">
        <f t="shared" si="5"/>
        <v>5000</v>
      </c>
      <c r="G275" s="48">
        <v>5000</v>
      </c>
    </row>
    <row r="276" spans="1:7" ht="15.75" x14ac:dyDescent="0.25">
      <c r="A276" s="262" t="s">
        <v>795</v>
      </c>
      <c r="B276" s="264" t="s">
        <v>545</v>
      </c>
      <c r="C276" s="48">
        <v>0</v>
      </c>
      <c r="D276" s="48">
        <v>0</v>
      </c>
      <c r="E276" s="48">
        <v>2000</v>
      </c>
      <c r="F276" s="274">
        <f t="shared" si="5"/>
        <v>2000</v>
      </c>
      <c r="G276" s="48">
        <v>2000</v>
      </c>
    </row>
    <row r="277" spans="1:7" ht="15.75" x14ac:dyDescent="0.25">
      <c r="A277" s="294" t="s">
        <v>281</v>
      </c>
      <c r="B277" s="263"/>
      <c r="C277" s="312">
        <f>SUM(C266:C276)</f>
        <v>1005383.18</v>
      </c>
      <c r="D277" s="312">
        <f>SUM(D266:D276)</f>
        <v>539392.61</v>
      </c>
      <c r="E277" s="312">
        <f>SUM(E266:E276)</f>
        <v>960607.39</v>
      </c>
      <c r="F277" s="312">
        <f>SUM(F266:F276)</f>
        <v>1500000</v>
      </c>
      <c r="G277" s="312">
        <f>SUM(G266:G276)</f>
        <v>1500000</v>
      </c>
    </row>
    <row r="278" spans="1:7" ht="15.75" x14ac:dyDescent="0.25">
      <c r="A278" s="302" t="s">
        <v>796</v>
      </c>
      <c r="B278" s="263"/>
      <c r="C278" s="48"/>
      <c r="D278" s="48"/>
      <c r="E278" s="48"/>
      <c r="F278" s="48"/>
      <c r="G278" s="48"/>
    </row>
    <row r="279" spans="1:7" ht="15.75" x14ac:dyDescent="0.25">
      <c r="A279" s="262" t="s">
        <v>655</v>
      </c>
      <c r="B279" s="263"/>
      <c r="C279" s="48" t="s">
        <v>655</v>
      </c>
      <c r="D279" s="48"/>
      <c r="E279" s="48"/>
      <c r="F279" s="48" t="s">
        <v>655</v>
      </c>
      <c r="G279" s="48"/>
    </row>
    <row r="280" spans="1:7" ht="15.75" x14ac:dyDescent="0.25">
      <c r="A280" s="262" t="s">
        <v>655</v>
      </c>
      <c r="B280" s="263"/>
      <c r="C280" s="48">
        <v>0</v>
      </c>
      <c r="D280" s="48"/>
      <c r="E280" s="48"/>
      <c r="F280" s="48">
        <v>0</v>
      </c>
      <c r="G280" s="48">
        <v>0</v>
      </c>
    </row>
    <row r="281" spans="1:7" ht="15.75" x14ac:dyDescent="0.25">
      <c r="A281" s="294" t="s">
        <v>282</v>
      </c>
      <c r="B281" s="263"/>
      <c r="C281" s="312">
        <f>SUM(C280:C280)</f>
        <v>0</v>
      </c>
      <c r="D281" s="312"/>
      <c r="E281" s="312"/>
      <c r="F281" s="312">
        <f>SUM(F279:F279)</f>
        <v>0</v>
      </c>
      <c r="G281" s="312">
        <f>SUM(G280:G280)</f>
        <v>0</v>
      </c>
    </row>
    <row r="282" spans="1:7" ht="15.75" x14ac:dyDescent="0.25">
      <c r="A282" s="265" t="s">
        <v>813</v>
      </c>
      <c r="B282" s="313"/>
      <c r="C282" s="304">
        <f>C249+C277+C281</f>
        <v>10158724.039999999</v>
      </c>
      <c r="D282" s="304">
        <f>D249+D277+D281</f>
        <v>6351138.8200000003</v>
      </c>
      <c r="E282" s="304">
        <f>E249+E277+E281</f>
        <v>7085690.71</v>
      </c>
      <c r="F282" s="304">
        <f>F249+F277+F281</f>
        <v>13436829.529999999</v>
      </c>
      <c r="G282" s="304">
        <f>G249+G277+G281</f>
        <v>14681045.4</v>
      </c>
    </row>
    <row r="283" spans="1:7" ht="15.75" x14ac:dyDescent="0.25">
      <c r="A283" s="252"/>
      <c r="B283" s="253"/>
      <c r="C283" s="253"/>
      <c r="D283" s="253"/>
      <c r="E283" s="253"/>
      <c r="F283" s="253"/>
      <c r="G283" s="253"/>
    </row>
    <row r="284" spans="1:7" ht="16.5" x14ac:dyDescent="0.25">
      <c r="A284" s="252" t="s">
        <v>798</v>
      </c>
      <c r="B284" s="253" t="s">
        <v>799</v>
      </c>
      <c r="C284" s="253"/>
      <c r="D284" s="253"/>
      <c r="E284" s="253" t="s">
        <v>651</v>
      </c>
      <c r="F284" s="314"/>
      <c r="G284" s="253"/>
    </row>
    <row r="285" spans="1:7" ht="15.75" x14ac:dyDescent="0.25">
      <c r="A285" s="252"/>
      <c r="B285" s="253"/>
      <c r="C285" s="253"/>
      <c r="D285" s="253"/>
      <c r="E285" s="253"/>
      <c r="F285" s="253"/>
      <c r="G285" s="253"/>
    </row>
    <row r="286" spans="1:7" ht="15.75" x14ac:dyDescent="0.25">
      <c r="A286" s="296" t="s">
        <v>814</v>
      </c>
      <c r="B286" s="359" t="s">
        <v>800</v>
      </c>
      <c r="C286" s="359"/>
      <c r="D286" s="359"/>
      <c r="E286" s="359" t="s">
        <v>778</v>
      </c>
      <c r="F286" s="359"/>
      <c r="G286" s="359"/>
    </row>
    <row r="287" spans="1:7" ht="15.75" x14ac:dyDescent="0.25">
      <c r="A287" s="298" t="s">
        <v>815</v>
      </c>
      <c r="B287" s="360" t="s">
        <v>780</v>
      </c>
      <c r="C287" s="360"/>
      <c r="D287" s="360"/>
      <c r="E287" s="360" t="s">
        <v>802</v>
      </c>
      <c r="F287" s="360"/>
      <c r="G287" s="360"/>
    </row>
    <row r="288" spans="1:7" ht="15.75" x14ac:dyDescent="0.25">
      <c r="A288" s="317"/>
      <c r="B288" s="318"/>
      <c r="C288" s="318"/>
      <c r="D288" s="318"/>
      <c r="E288" s="318"/>
      <c r="F288" s="318"/>
      <c r="G288" s="269" t="s">
        <v>816</v>
      </c>
    </row>
    <row r="289" spans="1:7" ht="16.5" x14ac:dyDescent="0.25">
      <c r="A289" s="248" t="s">
        <v>674</v>
      </c>
      <c r="B289" s="249"/>
      <c r="C289" s="249"/>
      <c r="D289" s="249"/>
      <c r="E289" s="249"/>
      <c r="F289" s="249" t="s">
        <v>655</v>
      </c>
      <c r="G289" s="250" t="s">
        <v>675</v>
      </c>
    </row>
    <row r="290" spans="1:7" ht="18" x14ac:dyDescent="0.25">
      <c r="A290" s="350" t="s">
        <v>817</v>
      </c>
      <c r="B290" s="350"/>
      <c r="C290" s="350"/>
      <c r="D290" s="350"/>
      <c r="E290" s="350"/>
      <c r="F290" s="350"/>
      <c r="G290" s="350"/>
    </row>
    <row r="291" spans="1:7" ht="18" x14ac:dyDescent="0.25">
      <c r="A291" s="251"/>
      <c r="B291" s="251"/>
      <c r="C291" s="251"/>
      <c r="D291" s="251"/>
      <c r="E291" s="251"/>
      <c r="F291" s="251"/>
      <c r="G291" s="251"/>
    </row>
    <row r="292" spans="1:7" ht="15.75" x14ac:dyDescent="0.25">
      <c r="A292" s="252" t="s">
        <v>818</v>
      </c>
      <c r="B292" s="253"/>
      <c r="C292" s="253"/>
      <c r="D292" s="253"/>
      <c r="E292" s="253"/>
      <c r="F292" s="253"/>
      <c r="G292" s="253"/>
    </row>
    <row r="293" spans="1:7" ht="15.75" x14ac:dyDescent="0.25">
      <c r="A293" s="252"/>
      <c r="B293" s="253"/>
      <c r="C293" s="253"/>
      <c r="D293" s="253"/>
      <c r="E293" s="253"/>
      <c r="F293" s="253"/>
      <c r="G293" s="293"/>
    </row>
    <row r="294" spans="1:7" ht="15.75" x14ac:dyDescent="0.25">
      <c r="A294" s="351" t="s">
        <v>678</v>
      </c>
      <c r="B294" s="254" t="s">
        <v>679</v>
      </c>
      <c r="C294" s="254" t="s">
        <v>680</v>
      </c>
      <c r="D294" s="353" t="s">
        <v>681</v>
      </c>
      <c r="E294" s="354"/>
      <c r="F294" s="355"/>
      <c r="G294" s="254" t="s">
        <v>682</v>
      </c>
    </row>
    <row r="295" spans="1:7" ht="15.75" x14ac:dyDescent="0.25">
      <c r="A295" s="352"/>
      <c r="B295" s="255" t="s">
        <v>683</v>
      </c>
      <c r="C295" s="255" t="s">
        <v>684</v>
      </c>
      <c r="D295" s="255" t="s">
        <v>92</v>
      </c>
      <c r="E295" s="255" t="s">
        <v>93</v>
      </c>
      <c r="F295" s="356" t="s">
        <v>25</v>
      </c>
      <c r="G295" s="255" t="s">
        <v>454</v>
      </c>
    </row>
    <row r="296" spans="1:7" ht="15.75" x14ac:dyDescent="0.25">
      <c r="A296" s="352"/>
      <c r="B296" s="255"/>
      <c r="C296" s="255"/>
      <c r="D296" s="256" t="s">
        <v>684</v>
      </c>
      <c r="E296" s="256" t="s">
        <v>685</v>
      </c>
      <c r="F296" s="357"/>
      <c r="G296" s="255"/>
    </row>
    <row r="297" spans="1:7" ht="15.75" x14ac:dyDescent="0.25">
      <c r="A297" s="257" t="s">
        <v>686</v>
      </c>
      <c r="B297" s="258" t="s">
        <v>687</v>
      </c>
      <c r="C297" s="258" t="s">
        <v>688</v>
      </c>
      <c r="D297" s="259" t="s">
        <v>689</v>
      </c>
      <c r="E297" s="258" t="s">
        <v>690</v>
      </c>
      <c r="F297" s="258" t="s">
        <v>691</v>
      </c>
      <c r="G297" s="258" t="s">
        <v>692</v>
      </c>
    </row>
    <row r="298" spans="1:7" ht="15.75" x14ac:dyDescent="0.25">
      <c r="A298" s="319" t="s">
        <v>693</v>
      </c>
      <c r="B298" s="263"/>
      <c r="C298" s="263"/>
      <c r="D298" s="284"/>
      <c r="E298" s="284"/>
      <c r="F298" s="284"/>
      <c r="G298" s="284"/>
    </row>
    <row r="299" spans="1:7" ht="15.75" x14ac:dyDescent="0.25">
      <c r="A299" s="320" t="s">
        <v>784</v>
      </c>
      <c r="B299" s="263"/>
      <c r="C299" s="263"/>
      <c r="D299" s="284"/>
      <c r="E299" s="284"/>
      <c r="F299" s="284"/>
      <c r="G299" s="284"/>
    </row>
    <row r="300" spans="1:7" ht="15.75" x14ac:dyDescent="0.25">
      <c r="A300" s="290" t="s">
        <v>695</v>
      </c>
      <c r="B300" s="264" t="s">
        <v>505</v>
      </c>
      <c r="C300" s="274">
        <v>1721494.6</v>
      </c>
      <c r="D300" s="274">
        <v>989076</v>
      </c>
      <c r="E300" s="274">
        <v>993468</v>
      </c>
      <c r="F300" s="274">
        <f>E300+D300</f>
        <v>1982544</v>
      </c>
      <c r="G300" s="274">
        <v>2393256</v>
      </c>
    </row>
    <row r="301" spans="1:7" ht="15.75" x14ac:dyDescent="0.25">
      <c r="A301" s="262" t="s">
        <v>696</v>
      </c>
      <c r="B301" s="264" t="s">
        <v>521</v>
      </c>
      <c r="C301" s="274">
        <v>206579.35</v>
      </c>
      <c r="D301" s="274">
        <v>118689.12</v>
      </c>
      <c r="E301" s="274">
        <v>119216.16</v>
      </c>
      <c r="F301" s="274">
        <f t="shared" ref="F301:F318" si="6">E301+D301</f>
        <v>237905.28</v>
      </c>
      <c r="G301" s="274">
        <v>287190.71999999997</v>
      </c>
    </row>
    <row r="302" spans="1:7" ht="15.75" x14ac:dyDescent="0.25">
      <c r="A302" s="262" t="s">
        <v>697</v>
      </c>
      <c r="B302" s="264" t="s">
        <v>527</v>
      </c>
      <c r="C302" s="274">
        <v>10010.75</v>
      </c>
      <c r="D302" s="274">
        <v>59702.31</v>
      </c>
      <c r="E302" s="274">
        <v>7727.95</v>
      </c>
      <c r="F302" s="274">
        <f t="shared" si="6"/>
        <v>67430.259999999995</v>
      </c>
      <c r="G302" s="274">
        <v>288343.67</v>
      </c>
    </row>
    <row r="303" spans="1:7" ht="15.75" x14ac:dyDescent="0.25">
      <c r="A303" s="290" t="s">
        <v>698</v>
      </c>
      <c r="B303" s="264" t="s">
        <v>508</v>
      </c>
      <c r="C303" s="274">
        <v>222000</v>
      </c>
      <c r="D303" s="274">
        <v>120000</v>
      </c>
      <c r="E303" s="274">
        <v>120000</v>
      </c>
      <c r="F303" s="274">
        <f t="shared" si="6"/>
        <v>240000</v>
      </c>
      <c r="G303" s="274">
        <v>264000</v>
      </c>
    </row>
    <row r="304" spans="1:7" ht="15.75" x14ac:dyDescent="0.25">
      <c r="A304" s="262" t="s">
        <v>699</v>
      </c>
      <c r="B304" s="264" t="s">
        <v>664</v>
      </c>
      <c r="C304" s="274">
        <v>45000</v>
      </c>
      <c r="D304" s="274">
        <v>0</v>
      </c>
      <c r="E304" s="274">
        <v>0</v>
      </c>
      <c r="F304" s="274">
        <f t="shared" si="6"/>
        <v>0</v>
      </c>
      <c r="G304" s="274">
        <v>0</v>
      </c>
    </row>
    <row r="305" spans="1:7" ht="15.75" x14ac:dyDescent="0.25">
      <c r="A305" s="290" t="s">
        <v>700</v>
      </c>
      <c r="B305" s="264" t="s">
        <v>522</v>
      </c>
      <c r="C305" s="274">
        <v>34429.89</v>
      </c>
      <c r="D305" s="274">
        <v>19781.52</v>
      </c>
      <c r="E305" s="274">
        <v>19869.36</v>
      </c>
      <c r="F305" s="274">
        <f t="shared" si="6"/>
        <v>39650.880000000005</v>
      </c>
      <c r="G305" s="274">
        <v>47865.120000000003</v>
      </c>
    </row>
    <row r="306" spans="1:7" ht="15.75" x14ac:dyDescent="0.25">
      <c r="A306" s="262" t="s">
        <v>701</v>
      </c>
      <c r="B306" s="264" t="s">
        <v>523</v>
      </c>
      <c r="C306" s="274">
        <v>20562.5</v>
      </c>
      <c r="D306" s="274">
        <v>11175</v>
      </c>
      <c r="E306" s="274">
        <v>12675</v>
      </c>
      <c r="F306" s="274">
        <f t="shared" si="6"/>
        <v>23850</v>
      </c>
      <c r="G306" s="274">
        <v>25650</v>
      </c>
    </row>
    <row r="307" spans="1:7" ht="15.75" x14ac:dyDescent="0.25">
      <c r="A307" s="262" t="s">
        <v>702</v>
      </c>
      <c r="B307" s="264" t="s">
        <v>524</v>
      </c>
      <c r="C307" s="274">
        <v>10524.07</v>
      </c>
      <c r="D307" s="274">
        <v>5846.88</v>
      </c>
      <c r="E307" s="274">
        <v>13948.96</v>
      </c>
      <c r="F307" s="274">
        <f t="shared" si="6"/>
        <v>19795.84</v>
      </c>
      <c r="G307" s="274">
        <v>23932.560000000001</v>
      </c>
    </row>
    <row r="308" spans="1:7" ht="15.75" x14ac:dyDescent="0.25">
      <c r="A308" s="262" t="s">
        <v>785</v>
      </c>
      <c r="B308" s="264" t="s">
        <v>704</v>
      </c>
      <c r="C308" s="274">
        <v>0</v>
      </c>
      <c r="D308" s="274">
        <v>164846</v>
      </c>
      <c r="E308" s="274">
        <v>-2</v>
      </c>
      <c r="F308" s="274">
        <f t="shared" si="6"/>
        <v>164844</v>
      </c>
      <c r="G308" s="274">
        <v>199438</v>
      </c>
    </row>
    <row r="309" spans="1:7" ht="15.75" x14ac:dyDescent="0.25">
      <c r="A309" s="262" t="s">
        <v>705</v>
      </c>
      <c r="B309" s="264" t="s">
        <v>704</v>
      </c>
      <c r="C309" s="274">
        <v>147471</v>
      </c>
      <c r="D309" s="274">
        <v>0</v>
      </c>
      <c r="E309" s="274">
        <v>165212</v>
      </c>
      <c r="F309" s="274">
        <f t="shared" si="6"/>
        <v>165212</v>
      </c>
      <c r="G309" s="274">
        <v>199438</v>
      </c>
    </row>
    <row r="310" spans="1:7" ht="15.75" x14ac:dyDescent="0.25">
      <c r="A310" s="290" t="s">
        <v>706</v>
      </c>
      <c r="B310" s="264" t="s">
        <v>707</v>
      </c>
      <c r="C310" s="274">
        <v>47500</v>
      </c>
      <c r="D310" s="274">
        <v>25000</v>
      </c>
      <c r="E310" s="274">
        <v>25000</v>
      </c>
      <c r="F310" s="274">
        <f t="shared" si="6"/>
        <v>50000</v>
      </c>
      <c r="G310" s="274">
        <v>55000</v>
      </c>
    </row>
    <row r="311" spans="1:7" ht="15.75" x14ac:dyDescent="0.25">
      <c r="A311" s="262" t="s">
        <v>786</v>
      </c>
      <c r="B311" s="264" t="s">
        <v>709</v>
      </c>
      <c r="C311" s="274">
        <v>112500</v>
      </c>
      <c r="D311" s="274">
        <v>56250</v>
      </c>
      <c r="E311" s="274">
        <v>56250</v>
      </c>
      <c r="F311" s="274">
        <f t="shared" si="6"/>
        <v>112500</v>
      </c>
      <c r="G311" s="274">
        <v>112500</v>
      </c>
    </row>
    <row r="312" spans="1:7" ht="15.75" x14ac:dyDescent="0.25">
      <c r="A312" s="262" t="s">
        <v>787</v>
      </c>
      <c r="B312" s="264" t="s">
        <v>510</v>
      </c>
      <c r="C312" s="274">
        <v>112500</v>
      </c>
      <c r="D312" s="274">
        <v>56250</v>
      </c>
      <c r="E312" s="274">
        <v>56250</v>
      </c>
      <c r="F312" s="274">
        <f t="shared" si="6"/>
        <v>112500</v>
      </c>
      <c r="G312" s="274">
        <v>112500</v>
      </c>
    </row>
    <row r="313" spans="1:7" ht="15.75" x14ac:dyDescent="0.25">
      <c r="A313" s="290" t="s">
        <v>788</v>
      </c>
      <c r="B313" s="264" t="s">
        <v>712</v>
      </c>
      <c r="C313" s="274">
        <v>45000</v>
      </c>
      <c r="D313" s="274">
        <v>50000</v>
      </c>
      <c r="E313" s="274">
        <v>0</v>
      </c>
      <c r="F313" s="274">
        <f t="shared" si="6"/>
        <v>50000</v>
      </c>
      <c r="G313" s="274">
        <v>55000</v>
      </c>
    </row>
    <row r="314" spans="1:7" ht="15.75" x14ac:dyDescent="0.25">
      <c r="A314" s="290" t="s">
        <v>713</v>
      </c>
      <c r="B314" s="264" t="s">
        <v>789</v>
      </c>
      <c r="C314" s="274">
        <v>5000</v>
      </c>
      <c r="D314" s="274">
        <v>5000</v>
      </c>
      <c r="E314" s="274">
        <v>10000</v>
      </c>
      <c r="F314" s="274">
        <f t="shared" si="6"/>
        <v>15000</v>
      </c>
      <c r="G314" s="274">
        <v>10000</v>
      </c>
    </row>
    <row r="315" spans="1:7" ht="15.75" x14ac:dyDescent="0.25">
      <c r="A315" s="262" t="s">
        <v>717</v>
      </c>
      <c r="B315" s="264" t="s">
        <v>527</v>
      </c>
      <c r="C315" s="274">
        <v>42418</v>
      </c>
      <c r="D315" s="274">
        <v>0</v>
      </c>
      <c r="E315" s="274">
        <v>50000</v>
      </c>
      <c r="F315" s="274">
        <f t="shared" si="6"/>
        <v>50000</v>
      </c>
      <c r="G315" s="274">
        <v>0</v>
      </c>
    </row>
    <row r="316" spans="1:7" ht="15.75" x14ac:dyDescent="0.25">
      <c r="A316" s="290" t="s">
        <v>718</v>
      </c>
      <c r="B316" s="264" t="s">
        <v>526</v>
      </c>
      <c r="C316" s="274">
        <v>0</v>
      </c>
      <c r="D316" s="274">
        <v>0</v>
      </c>
      <c r="E316" s="274">
        <v>0</v>
      </c>
      <c r="F316" s="274">
        <f t="shared" si="6"/>
        <v>0</v>
      </c>
      <c r="G316" s="274">
        <v>0</v>
      </c>
    </row>
    <row r="317" spans="1:7" ht="15.75" x14ac:dyDescent="0.25">
      <c r="A317" s="262" t="s">
        <v>720</v>
      </c>
      <c r="B317" s="264" t="s">
        <v>527</v>
      </c>
      <c r="C317" s="274">
        <v>0</v>
      </c>
      <c r="D317" s="274">
        <v>20000</v>
      </c>
      <c r="E317" s="274">
        <v>0</v>
      </c>
      <c r="F317" s="274">
        <f t="shared" si="6"/>
        <v>20000</v>
      </c>
      <c r="G317" s="274"/>
    </row>
    <row r="318" spans="1:7" ht="15.75" x14ac:dyDescent="0.25">
      <c r="A318" s="262" t="s">
        <v>721</v>
      </c>
      <c r="B318" s="264" t="s">
        <v>527</v>
      </c>
      <c r="C318" s="274">
        <v>139992</v>
      </c>
      <c r="D318" s="274">
        <v>0</v>
      </c>
      <c r="E318" s="274">
        <v>50000</v>
      </c>
      <c r="F318" s="274">
        <f t="shared" si="6"/>
        <v>50000</v>
      </c>
      <c r="G318" s="274">
        <v>55000</v>
      </c>
    </row>
    <row r="319" spans="1:7" ht="15.75" x14ac:dyDescent="0.25">
      <c r="A319" s="321" t="s">
        <v>722</v>
      </c>
      <c r="B319" s="267"/>
      <c r="C319" s="267">
        <f>SUM(C300:C318)</f>
        <v>2922982.16</v>
      </c>
      <c r="D319" s="267">
        <f>SUM(D300:D318)</f>
        <v>1701616.83</v>
      </c>
      <c r="E319" s="267">
        <f>SUM(E300:E318)</f>
        <v>1699615.43</v>
      </c>
      <c r="F319" s="267">
        <f>SUM(F300:F318)</f>
        <v>3401232.2599999993</v>
      </c>
      <c r="G319" s="322">
        <f>SUM(G300:G318)</f>
        <v>4129114.07</v>
      </c>
    </row>
    <row r="320" spans="1:7" ht="15.75" x14ac:dyDescent="0.25">
      <c r="A320" s="252"/>
      <c r="B320" s="253"/>
      <c r="C320" s="253"/>
      <c r="D320" s="253"/>
      <c r="E320" s="253"/>
      <c r="F320" s="253"/>
      <c r="G320" s="253"/>
    </row>
    <row r="321" spans="1:7" ht="15.75" x14ac:dyDescent="0.25">
      <c r="A321" s="252"/>
      <c r="B321" s="253"/>
      <c r="C321" s="253"/>
      <c r="D321" s="253"/>
      <c r="E321" s="253"/>
      <c r="F321" s="253"/>
      <c r="G321" s="269" t="s">
        <v>819</v>
      </c>
    </row>
    <row r="322" spans="1:7" ht="15.75" x14ac:dyDescent="0.25">
      <c r="A322" s="252"/>
      <c r="B322" s="253"/>
      <c r="C322" s="253"/>
      <c r="D322" s="253"/>
      <c r="E322" s="253"/>
      <c r="F322" s="253"/>
      <c r="G322" s="269"/>
    </row>
    <row r="323" spans="1:7" ht="15.75" x14ac:dyDescent="0.25">
      <c r="A323" s="252"/>
      <c r="B323" s="253"/>
      <c r="C323" s="253"/>
      <c r="D323" s="253"/>
      <c r="E323" s="253"/>
      <c r="F323" s="253"/>
      <c r="G323" s="269"/>
    </row>
    <row r="324" spans="1:7" ht="15.75" x14ac:dyDescent="0.25">
      <c r="A324" s="252"/>
      <c r="B324" s="253"/>
      <c r="C324" s="253"/>
      <c r="D324" s="253"/>
      <c r="E324" s="253"/>
      <c r="F324" s="253"/>
      <c r="G324" s="269"/>
    </row>
    <row r="325" spans="1:7" ht="16.5" x14ac:dyDescent="0.25">
      <c r="A325" s="248" t="s">
        <v>674</v>
      </c>
      <c r="B325" s="249"/>
      <c r="C325" s="249"/>
      <c r="D325" s="249"/>
      <c r="E325" s="249"/>
      <c r="F325" s="249" t="s">
        <v>655</v>
      </c>
      <c r="G325" s="250" t="s">
        <v>675</v>
      </c>
    </row>
    <row r="326" spans="1:7" ht="18" x14ac:dyDescent="0.25">
      <c r="A326" s="350" t="s">
        <v>817</v>
      </c>
      <c r="B326" s="350"/>
      <c r="C326" s="350"/>
      <c r="D326" s="350"/>
      <c r="E326" s="350"/>
      <c r="F326" s="350"/>
      <c r="G326" s="350"/>
    </row>
    <row r="327" spans="1:7" ht="18" x14ac:dyDescent="0.25">
      <c r="A327" s="251"/>
      <c r="B327" s="251"/>
      <c r="C327" s="251"/>
      <c r="D327" s="251"/>
      <c r="E327" s="251"/>
      <c r="F327" s="251"/>
      <c r="G327" s="251"/>
    </row>
    <row r="328" spans="1:7" ht="15.75" x14ac:dyDescent="0.25">
      <c r="A328" s="252" t="s">
        <v>818</v>
      </c>
      <c r="B328" s="253"/>
      <c r="C328" s="253"/>
      <c r="D328" s="253"/>
      <c r="E328" s="253"/>
      <c r="F328" s="253"/>
      <c r="G328" s="253"/>
    </row>
    <row r="329" spans="1:7" ht="15.75" x14ac:dyDescent="0.25">
      <c r="A329" s="252" t="s">
        <v>655</v>
      </c>
      <c r="B329" s="253"/>
      <c r="C329" s="253"/>
      <c r="D329" s="253"/>
      <c r="E329" s="253"/>
      <c r="F329" s="253"/>
      <c r="G329" s="281"/>
    </row>
    <row r="330" spans="1:7" ht="15.75" x14ac:dyDescent="0.25">
      <c r="A330" s="351" t="s">
        <v>678</v>
      </c>
      <c r="B330" s="254" t="s">
        <v>679</v>
      </c>
      <c r="C330" s="254" t="s">
        <v>680</v>
      </c>
      <c r="D330" s="353" t="s">
        <v>681</v>
      </c>
      <c r="E330" s="354"/>
      <c r="F330" s="355"/>
      <c r="G330" s="254" t="s">
        <v>682</v>
      </c>
    </row>
    <row r="331" spans="1:7" ht="15.75" x14ac:dyDescent="0.25">
      <c r="A331" s="352"/>
      <c r="B331" s="255" t="s">
        <v>683</v>
      </c>
      <c r="C331" s="255" t="s">
        <v>684</v>
      </c>
      <c r="D331" s="255" t="s">
        <v>92</v>
      </c>
      <c r="E331" s="255" t="s">
        <v>93</v>
      </c>
      <c r="F331" s="356" t="s">
        <v>25</v>
      </c>
      <c r="G331" s="255" t="s">
        <v>454</v>
      </c>
    </row>
    <row r="332" spans="1:7" ht="15.75" x14ac:dyDescent="0.25">
      <c r="A332" s="352"/>
      <c r="B332" s="255"/>
      <c r="C332" s="255"/>
      <c r="D332" s="256" t="s">
        <v>684</v>
      </c>
      <c r="E332" s="256" t="s">
        <v>685</v>
      </c>
      <c r="F332" s="357"/>
      <c r="G332" s="255"/>
    </row>
    <row r="333" spans="1:7" ht="15.75" x14ac:dyDescent="0.25">
      <c r="A333" s="257" t="s">
        <v>686</v>
      </c>
      <c r="B333" s="258" t="s">
        <v>687</v>
      </c>
      <c r="C333" s="258" t="s">
        <v>688</v>
      </c>
      <c r="D333" s="259" t="s">
        <v>689</v>
      </c>
      <c r="E333" s="258" t="s">
        <v>690</v>
      </c>
      <c r="F333" s="258" t="s">
        <v>691</v>
      </c>
      <c r="G333" s="258" t="s">
        <v>692</v>
      </c>
    </row>
    <row r="334" spans="1:7" ht="31.5" x14ac:dyDescent="0.25">
      <c r="A334" s="323" t="s">
        <v>793</v>
      </c>
      <c r="B334" s="261"/>
      <c r="C334" s="261"/>
      <c r="D334" s="263"/>
      <c r="E334" s="263"/>
      <c r="F334" s="263"/>
      <c r="G334" s="263"/>
    </row>
    <row r="335" spans="1:7" ht="15.75" x14ac:dyDescent="0.25">
      <c r="A335" s="262" t="s">
        <v>724</v>
      </c>
      <c r="B335" s="264" t="s">
        <v>505</v>
      </c>
      <c r="C335" s="48">
        <v>172583</v>
      </c>
      <c r="D335" s="48">
        <v>81758</v>
      </c>
      <c r="E335" s="48">
        <v>77442</v>
      </c>
      <c r="F335" s="48">
        <f>E335+D335</f>
        <v>159200</v>
      </c>
      <c r="G335" s="48">
        <v>159200</v>
      </c>
    </row>
    <row r="336" spans="1:7" ht="15.75" x14ac:dyDescent="0.25">
      <c r="A336" s="262" t="s">
        <v>725</v>
      </c>
      <c r="B336" s="264" t="s">
        <v>532</v>
      </c>
      <c r="C336" s="48">
        <v>78457.649999999994</v>
      </c>
      <c r="D336" s="48">
        <v>50170.239999999998</v>
      </c>
      <c r="E336" s="48">
        <v>36858.76</v>
      </c>
      <c r="F336" s="48">
        <f t="shared" ref="F336:F341" si="7">E336+D336</f>
        <v>87029</v>
      </c>
      <c r="G336" s="48">
        <v>87029</v>
      </c>
    </row>
    <row r="337" spans="1:7" ht="15.75" x14ac:dyDescent="0.25">
      <c r="A337" s="262" t="s">
        <v>820</v>
      </c>
      <c r="B337" s="264" t="s">
        <v>533</v>
      </c>
      <c r="C337" s="48">
        <v>35230</v>
      </c>
      <c r="D337" s="48">
        <v>30509.119999999999</v>
      </c>
      <c r="E337" s="48">
        <v>-509.12</v>
      </c>
      <c r="F337" s="48">
        <f t="shared" si="7"/>
        <v>30000</v>
      </c>
      <c r="G337" s="48">
        <v>30000</v>
      </c>
    </row>
    <row r="338" spans="1:7" ht="15.75" x14ac:dyDescent="0.25">
      <c r="A338" s="262" t="s">
        <v>729</v>
      </c>
      <c r="B338" s="264" t="s">
        <v>568</v>
      </c>
      <c r="C338" s="48">
        <v>41976</v>
      </c>
      <c r="D338" s="48">
        <v>20988</v>
      </c>
      <c r="E338" s="48">
        <v>22012</v>
      </c>
      <c r="F338" s="48">
        <f t="shared" si="7"/>
        <v>43000</v>
      </c>
      <c r="G338" s="48">
        <v>43000</v>
      </c>
    </row>
    <row r="339" spans="1:7" ht="15.75" x14ac:dyDescent="0.25">
      <c r="A339" s="262" t="s">
        <v>821</v>
      </c>
      <c r="B339" s="264" t="s">
        <v>599</v>
      </c>
      <c r="C339" s="48">
        <v>33525</v>
      </c>
      <c r="D339" s="48">
        <v>0</v>
      </c>
      <c r="E339" s="48">
        <v>38125</v>
      </c>
      <c r="F339" s="48">
        <f t="shared" si="7"/>
        <v>38125</v>
      </c>
      <c r="G339" s="48">
        <v>38125</v>
      </c>
    </row>
    <row r="340" spans="1:7" ht="15.75" x14ac:dyDescent="0.25">
      <c r="A340" s="262" t="s">
        <v>730</v>
      </c>
      <c r="B340" s="264" t="s">
        <v>529</v>
      </c>
      <c r="C340" s="48">
        <v>22500</v>
      </c>
      <c r="D340" s="48">
        <v>12000</v>
      </c>
      <c r="E340" s="48">
        <v>23000</v>
      </c>
      <c r="F340" s="48">
        <f t="shared" si="7"/>
        <v>35000</v>
      </c>
      <c r="G340" s="48">
        <v>35000</v>
      </c>
    </row>
    <row r="341" spans="1:7" ht="15.75" x14ac:dyDescent="0.25">
      <c r="A341" s="262" t="s">
        <v>795</v>
      </c>
      <c r="B341" s="264" t="s">
        <v>545</v>
      </c>
      <c r="C341" s="274">
        <v>3000</v>
      </c>
      <c r="D341" s="274">
        <v>0</v>
      </c>
      <c r="E341" s="274">
        <v>3000</v>
      </c>
      <c r="F341" s="48">
        <f t="shared" si="7"/>
        <v>3000</v>
      </c>
      <c r="G341" s="48">
        <v>3000</v>
      </c>
    </row>
    <row r="342" spans="1:7" ht="15.75" x14ac:dyDescent="0.25">
      <c r="A342" s="294" t="s">
        <v>281</v>
      </c>
      <c r="B342" s="263"/>
      <c r="C342" s="312">
        <f>SUM(C335:C341)</f>
        <v>387271.65</v>
      </c>
      <c r="D342" s="312">
        <f>SUM(D335:D341)</f>
        <v>195425.36</v>
      </c>
      <c r="E342" s="312">
        <f>SUM(E335:E341)</f>
        <v>199928.64</v>
      </c>
      <c r="F342" s="312">
        <f>SUM(F335:F341)</f>
        <v>395354</v>
      </c>
      <c r="G342" s="312">
        <f>SUM(G335:G341)</f>
        <v>395354</v>
      </c>
    </row>
    <row r="343" spans="1:7" ht="15.75" x14ac:dyDescent="0.25">
      <c r="A343" s="262"/>
      <c r="B343" s="263"/>
      <c r="C343" s="263"/>
      <c r="D343" s="263"/>
      <c r="E343" s="263"/>
      <c r="F343" s="263"/>
      <c r="G343" s="263"/>
    </row>
    <row r="344" spans="1:7" ht="15.75" x14ac:dyDescent="0.25">
      <c r="A344" s="302" t="s">
        <v>796</v>
      </c>
      <c r="B344" s="263"/>
      <c r="C344" s="263"/>
      <c r="D344" s="263"/>
      <c r="E344" s="263"/>
      <c r="F344" s="263"/>
      <c r="G344" s="263"/>
    </row>
    <row r="345" spans="1:7" ht="15.75" x14ac:dyDescent="0.25">
      <c r="A345" s="262" t="s">
        <v>822</v>
      </c>
      <c r="B345" s="263"/>
      <c r="C345" s="263">
        <v>0</v>
      </c>
      <c r="D345" s="263"/>
      <c r="E345" s="263"/>
      <c r="F345" s="48">
        <v>0</v>
      </c>
      <c r="G345" s="48">
        <v>0</v>
      </c>
    </row>
    <row r="346" spans="1:7" ht="15.75" x14ac:dyDescent="0.25">
      <c r="A346" s="294" t="s">
        <v>282</v>
      </c>
      <c r="B346" s="263"/>
      <c r="C346" s="292">
        <f>SUM(C345)</f>
        <v>0</v>
      </c>
      <c r="D346" s="292"/>
      <c r="E346" s="292"/>
      <c r="F346" s="292">
        <f>SUM(F345)</f>
        <v>0</v>
      </c>
      <c r="G346" s="292">
        <f>SUM(G345)</f>
        <v>0</v>
      </c>
    </row>
    <row r="347" spans="1:7" ht="15.75" x14ac:dyDescent="0.25">
      <c r="A347" s="262"/>
      <c r="B347" s="263"/>
      <c r="C347" s="263"/>
      <c r="D347" s="263"/>
      <c r="E347" s="263"/>
      <c r="F347" s="263"/>
      <c r="G347" s="263"/>
    </row>
    <row r="348" spans="1:7" ht="15.75" x14ac:dyDescent="0.25">
      <c r="A348" s="265" t="s">
        <v>823</v>
      </c>
      <c r="B348" s="313"/>
      <c r="C348" s="267">
        <f>C319+C342+C346</f>
        <v>3310253.81</v>
      </c>
      <c r="D348" s="267">
        <f>D319+D342+D346</f>
        <v>1897042.19</v>
      </c>
      <c r="E348" s="267">
        <f>E319+E342+E346</f>
        <v>1899544.0699999998</v>
      </c>
      <c r="F348" s="267">
        <f>F319+F342+F346</f>
        <v>3796586.2599999993</v>
      </c>
      <c r="G348" s="267">
        <f>G319+G342+G346</f>
        <v>4524468.07</v>
      </c>
    </row>
    <row r="349" spans="1:7" ht="15.75" x14ac:dyDescent="0.25">
      <c r="A349" s="252"/>
      <c r="B349" s="253"/>
      <c r="C349" s="253"/>
      <c r="D349" s="253"/>
      <c r="E349" s="253"/>
      <c r="F349" s="253"/>
      <c r="G349" s="253"/>
    </row>
    <row r="350" spans="1:7" ht="16.5" x14ac:dyDescent="0.25">
      <c r="A350" s="252" t="s">
        <v>798</v>
      </c>
      <c r="B350" s="253" t="s">
        <v>799</v>
      </c>
      <c r="C350" s="253"/>
      <c r="D350" s="253"/>
      <c r="E350" s="253" t="s">
        <v>651</v>
      </c>
      <c r="F350" s="314"/>
      <c r="G350" s="253"/>
    </row>
    <row r="351" spans="1:7" ht="15.75" x14ac:dyDescent="0.25">
      <c r="A351" s="252"/>
      <c r="B351" s="253"/>
      <c r="C351" s="253"/>
      <c r="D351" s="253"/>
      <c r="E351" s="253"/>
      <c r="F351" s="253"/>
      <c r="G351" s="253"/>
    </row>
    <row r="352" spans="1:7" ht="15.75" x14ac:dyDescent="0.25">
      <c r="A352" s="252"/>
      <c r="B352" s="253"/>
      <c r="C352" s="253"/>
      <c r="D352" s="253"/>
      <c r="E352" s="253"/>
      <c r="F352" s="253"/>
      <c r="G352" s="253"/>
    </row>
    <row r="353" spans="1:7" ht="15.75" x14ac:dyDescent="0.25">
      <c r="A353" s="296" t="s">
        <v>824</v>
      </c>
      <c r="B353" s="359" t="s">
        <v>800</v>
      </c>
      <c r="C353" s="359"/>
      <c r="D353" s="359"/>
      <c r="E353" s="359" t="s">
        <v>778</v>
      </c>
      <c r="F353" s="359"/>
      <c r="G353" s="359"/>
    </row>
    <row r="354" spans="1:7" ht="15.75" x14ac:dyDescent="0.25">
      <c r="A354" s="298" t="s">
        <v>825</v>
      </c>
      <c r="B354" s="360" t="s">
        <v>780</v>
      </c>
      <c r="C354" s="360"/>
      <c r="D354" s="360"/>
      <c r="E354" s="360" t="s">
        <v>802</v>
      </c>
      <c r="F354" s="360"/>
      <c r="G354" s="360"/>
    </row>
    <row r="355" spans="1:7" ht="15.75" x14ac:dyDescent="0.25">
      <c r="A355" s="252"/>
      <c r="B355" s="253"/>
      <c r="C355" s="253"/>
      <c r="D355" s="253"/>
      <c r="E355" s="253"/>
      <c r="F355" s="253"/>
      <c r="G355" s="269" t="s">
        <v>826</v>
      </c>
    </row>
    <row r="356" spans="1:7" ht="15.75" x14ac:dyDescent="0.25">
      <c r="A356" s="252"/>
      <c r="B356" s="253"/>
      <c r="C356" s="253"/>
      <c r="D356" s="253"/>
      <c r="E356" s="253"/>
      <c r="F356" s="253"/>
      <c r="G356" s="253"/>
    </row>
    <row r="360" spans="1:7" ht="16.5" x14ac:dyDescent="0.25">
      <c r="A360" s="248" t="s">
        <v>674</v>
      </c>
      <c r="B360" s="249"/>
      <c r="C360" s="249"/>
      <c r="D360" s="249"/>
      <c r="E360" s="249"/>
      <c r="F360" s="249" t="s">
        <v>655</v>
      </c>
      <c r="G360" s="250" t="s">
        <v>675</v>
      </c>
    </row>
    <row r="361" spans="1:7" ht="18" x14ac:dyDescent="0.25">
      <c r="A361" s="324" t="s">
        <v>827</v>
      </c>
      <c r="B361" s="324"/>
      <c r="C361" s="324"/>
      <c r="D361" s="324"/>
      <c r="E361" s="324"/>
      <c r="F361" s="324"/>
      <c r="G361" s="324"/>
    </row>
    <row r="362" spans="1:7" ht="16.5" x14ac:dyDescent="0.25">
      <c r="A362" s="325"/>
      <c r="B362" s="325"/>
      <c r="C362" s="325"/>
      <c r="D362" s="325"/>
      <c r="E362" s="325"/>
      <c r="F362" s="325"/>
      <c r="G362" s="325"/>
    </row>
    <row r="363" spans="1:7" ht="15.75" x14ac:dyDescent="0.25">
      <c r="A363" s="252" t="s">
        <v>828</v>
      </c>
      <c r="B363" s="253"/>
      <c r="C363" s="253"/>
      <c r="D363" s="253"/>
      <c r="E363" s="253"/>
      <c r="F363" s="253"/>
      <c r="G363" s="253"/>
    </row>
    <row r="364" spans="1:7" ht="15.75" x14ac:dyDescent="0.25">
      <c r="A364" s="252" t="s">
        <v>655</v>
      </c>
      <c r="B364" s="253"/>
      <c r="C364" s="253"/>
      <c r="D364" s="253"/>
      <c r="E364" s="253"/>
      <c r="F364" s="253"/>
      <c r="G364" s="281"/>
    </row>
    <row r="365" spans="1:7" ht="15.75" x14ac:dyDescent="0.25">
      <c r="A365" s="351" t="s">
        <v>678</v>
      </c>
      <c r="B365" s="254" t="s">
        <v>679</v>
      </c>
      <c r="C365" s="254" t="s">
        <v>680</v>
      </c>
      <c r="D365" s="353" t="s">
        <v>681</v>
      </c>
      <c r="E365" s="354"/>
      <c r="F365" s="355"/>
      <c r="G365" s="254" t="s">
        <v>682</v>
      </c>
    </row>
    <row r="366" spans="1:7" ht="15.75" x14ac:dyDescent="0.25">
      <c r="A366" s="352"/>
      <c r="B366" s="255" t="s">
        <v>683</v>
      </c>
      <c r="C366" s="255" t="s">
        <v>684</v>
      </c>
      <c r="D366" s="255" t="s">
        <v>92</v>
      </c>
      <c r="E366" s="255" t="s">
        <v>93</v>
      </c>
      <c r="F366" s="356" t="s">
        <v>25</v>
      </c>
      <c r="G366" s="255" t="s">
        <v>454</v>
      </c>
    </row>
    <row r="367" spans="1:7" ht="15.75" x14ac:dyDescent="0.25">
      <c r="A367" s="352"/>
      <c r="B367" s="255"/>
      <c r="C367" s="255"/>
      <c r="D367" s="256" t="s">
        <v>684</v>
      </c>
      <c r="E367" s="256" t="s">
        <v>685</v>
      </c>
      <c r="F367" s="357"/>
      <c r="G367" s="255"/>
    </row>
    <row r="368" spans="1:7" ht="15.75" x14ac:dyDescent="0.25">
      <c r="A368" s="257" t="s">
        <v>686</v>
      </c>
      <c r="B368" s="258" t="s">
        <v>687</v>
      </c>
      <c r="C368" s="258" t="s">
        <v>688</v>
      </c>
      <c r="D368" s="259" t="s">
        <v>689</v>
      </c>
      <c r="E368" s="258" t="s">
        <v>690</v>
      </c>
      <c r="F368" s="258" t="s">
        <v>691</v>
      </c>
      <c r="G368" s="258" t="s">
        <v>692</v>
      </c>
    </row>
    <row r="369" spans="1:7" ht="15.75" x14ac:dyDescent="0.25">
      <c r="A369" s="260" t="s">
        <v>693</v>
      </c>
      <c r="B369" s="261"/>
      <c r="C369" s="261"/>
      <c r="D369" s="263"/>
      <c r="E369" s="263"/>
      <c r="F369" s="263"/>
      <c r="G369" s="263"/>
    </row>
    <row r="370" spans="1:7" ht="15.75" x14ac:dyDescent="0.25">
      <c r="A370" s="302" t="s">
        <v>784</v>
      </c>
      <c r="B370" s="263"/>
      <c r="C370" s="263"/>
      <c r="D370" s="263"/>
      <c r="E370" s="263"/>
      <c r="F370" s="263"/>
      <c r="G370" s="263"/>
    </row>
    <row r="371" spans="1:7" ht="15.75" x14ac:dyDescent="0.25">
      <c r="A371" s="262" t="s">
        <v>695</v>
      </c>
      <c r="B371" s="264" t="s">
        <v>505</v>
      </c>
      <c r="C371" s="284">
        <v>874632</v>
      </c>
      <c r="D371" s="284">
        <v>480042</v>
      </c>
      <c r="E371" s="284">
        <v>481038</v>
      </c>
      <c r="F371" s="284">
        <f>E371+D371</f>
        <v>961080</v>
      </c>
      <c r="G371" s="284">
        <v>1059996</v>
      </c>
    </row>
    <row r="372" spans="1:7" ht="15.75" x14ac:dyDescent="0.25">
      <c r="A372" s="262" t="s">
        <v>696</v>
      </c>
      <c r="B372" s="264" t="s">
        <v>521</v>
      </c>
      <c r="C372" s="284">
        <v>104955.84</v>
      </c>
      <c r="D372" s="284">
        <v>57605.04</v>
      </c>
      <c r="E372" s="284">
        <v>57724.56</v>
      </c>
      <c r="F372" s="284">
        <f t="shared" ref="F372:F388" si="8">E372+D372</f>
        <v>115329.60000000001</v>
      </c>
      <c r="G372" s="48">
        <v>127199.52</v>
      </c>
    </row>
    <row r="373" spans="1:7" ht="15.75" x14ac:dyDescent="0.25">
      <c r="A373" s="262" t="s">
        <v>697</v>
      </c>
      <c r="B373" s="264" t="s">
        <v>527</v>
      </c>
      <c r="C373" s="284">
        <v>17367.46</v>
      </c>
      <c r="D373" s="284">
        <v>0</v>
      </c>
      <c r="E373" s="284">
        <v>57430.26</v>
      </c>
      <c r="F373" s="284">
        <f t="shared" si="8"/>
        <v>57430.26</v>
      </c>
      <c r="G373" s="48">
        <v>127710.17</v>
      </c>
    </row>
    <row r="374" spans="1:7" ht="15.75" x14ac:dyDescent="0.25">
      <c r="A374" s="262" t="s">
        <v>698</v>
      </c>
      <c r="B374" s="264" t="s">
        <v>508</v>
      </c>
      <c r="C374" s="284">
        <v>95818.2</v>
      </c>
      <c r="D374" s="284">
        <v>48000</v>
      </c>
      <c r="E374" s="284">
        <v>48000</v>
      </c>
      <c r="F374" s="284">
        <f t="shared" si="8"/>
        <v>96000</v>
      </c>
      <c r="G374" s="48">
        <v>96000</v>
      </c>
    </row>
    <row r="375" spans="1:7" ht="15.75" x14ac:dyDescent="0.25">
      <c r="A375" s="262" t="s">
        <v>699</v>
      </c>
      <c r="B375" s="264" t="s">
        <v>664</v>
      </c>
      <c r="C375" s="284">
        <v>20000</v>
      </c>
      <c r="D375" s="284">
        <v>0</v>
      </c>
      <c r="E375" s="284">
        <v>0</v>
      </c>
      <c r="F375" s="284">
        <f t="shared" si="8"/>
        <v>0</v>
      </c>
      <c r="G375" s="48">
        <v>0</v>
      </c>
    </row>
    <row r="376" spans="1:7" ht="15.75" x14ac:dyDescent="0.25">
      <c r="A376" s="262" t="s">
        <v>700</v>
      </c>
      <c r="B376" s="264" t="s">
        <v>522</v>
      </c>
      <c r="C376" s="284">
        <v>17492.64</v>
      </c>
      <c r="D376" s="284">
        <v>9600.84</v>
      </c>
      <c r="E376" s="284">
        <v>9620.76</v>
      </c>
      <c r="F376" s="284">
        <f t="shared" si="8"/>
        <v>19221.599999999999</v>
      </c>
      <c r="G376" s="274">
        <v>21199.919999999998</v>
      </c>
    </row>
    <row r="377" spans="1:7" ht="15.75" x14ac:dyDescent="0.25">
      <c r="A377" s="262" t="s">
        <v>701</v>
      </c>
      <c r="B377" s="264" t="s">
        <v>523</v>
      </c>
      <c r="C377" s="284">
        <v>10000</v>
      </c>
      <c r="D377" s="284">
        <v>5025</v>
      </c>
      <c r="E377" s="284">
        <v>5325</v>
      </c>
      <c r="F377" s="284">
        <f t="shared" si="8"/>
        <v>10350</v>
      </c>
      <c r="G377" s="284">
        <v>10350</v>
      </c>
    </row>
    <row r="378" spans="1:7" ht="15.75" x14ac:dyDescent="0.25">
      <c r="A378" s="262" t="s">
        <v>702</v>
      </c>
      <c r="B378" s="264" t="s">
        <v>524</v>
      </c>
      <c r="C378" s="284">
        <v>4668.76</v>
      </c>
      <c r="D378" s="284">
        <v>2326.86</v>
      </c>
      <c r="E378" s="284">
        <v>7283.94</v>
      </c>
      <c r="F378" s="284">
        <f t="shared" si="8"/>
        <v>9610.7999999999993</v>
      </c>
      <c r="G378" s="284">
        <v>10599.96</v>
      </c>
    </row>
    <row r="379" spans="1:7" ht="15.75" x14ac:dyDescent="0.25">
      <c r="A379" s="262" t="s">
        <v>785</v>
      </c>
      <c r="B379" s="264" t="s">
        <v>704</v>
      </c>
      <c r="C379" s="284">
        <v>0</v>
      </c>
      <c r="D379" s="284">
        <v>80007</v>
      </c>
      <c r="E379" s="284">
        <v>0</v>
      </c>
      <c r="F379" s="284">
        <f t="shared" si="8"/>
        <v>80007</v>
      </c>
      <c r="G379" s="284">
        <v>88333</v>
      </c>
    </row>
    <row r="380" spans="1:7" ht="15.75" x14ac:dyDescent="0.25">
      <c r="A380" s="262" t="s">
        <v>705</v>
      </c>
      <c r="B380" s="264" t="s">
        <v>704</v>
      </c>
      <c r="C380" s="284">
        <v>68693</v>
      </c>
      <c r="D380" s="284">
        <v>0</v>
      </c>
      <c r="E380" s="284">
        <v>80090</v>
      </c>
      <c r="F380" s="284">
        <f t="shared" si="8"/>
        <v>80090</v>
      </c>
      <c r="G380" s="284">
        <v>88333</v>
      </c>
    </row>
    <row r="381" spans="1:7" ht="15.75" x14ac:dyDescent="0.25">
      <c r="A381" s="262" t="s">
        <v>706</v>
      </c>
      <c r="B381" s="264" t="s">
        <v>707</v>
      </c>
      <c r="C381" s="284">
        <v>18000</v>
      </c>
      <c r="D381" s="284">
        <v>10000</v>
      </c>
      <c r="E381" s="284">
        <v>10000</v>
      </c>
      <c r="F381" s="284">
        <f t="shared" si="8"/>
        <v>20000</v>
      </c>
      <c r="G381" s="284">
        <v>20000</v>
      </c>
    </row>
    <row r="382" spans="1:7" ht="15.75" x14ac:dyDescent="0.25">
      <c r="A382" s="262" t="s">
        <v>786</v>
      </c>
      <c r="B382" s="264" t="s">
        <v>709</v>
      </c>
      <c r="C382" s="284">
        <v>67500</v>
      </c>
      <c r="D382" s="284">
        <v>33750</v>
      </c>
      <c r="E382" s="284">
        <v>33750</v>
      </c>
      <c r="F382" s="284">
        <f t="shared" si="8"/>
        <v>67500</v>
      </c>
      <c r="G382" s="284">
        <v>67500</v>
      </c>
    </row>
    <row r="383" spans="1:7" ht="15.75" x14ac:dyDescent="0.25">
      <c r="A383" s="262" t="s">
        <v>787</v>
      </c>
      <c r="B383" s="264" t="s">
        <v>510</v>
      </c>
      <c r="C383" s="284">
        <v>67500</v>
      </c>
      <c r="D383" s="284">
        <v>33750</v>
      </c>
      <c r="E383" s="284">
        <v>33750</v>
      </c>
      <c r="F383" s="284">
        <f t="shared" si="8"/>
        <v>67500</v>
      </c>
      <c r="G383" s="284">
        <v>67500</v>
      </c>
    </row>
    <row r="384" spans="1:7" ht="15.75" x14ac:dyDescent="0.25">
      <c r="A384" s="262" t="s">
        <v>788</v>
      </c>
      <c r="B384" s="264" t="s">
        <v>712</v>
      </c>
      <c r="C384" s="284">
        <v>20000</v>
      </c>
      <c r="D384" s="284">
        <v>20000</v>
      </c>
      <c r="E384" s="284">
        <v>0</v>
      </c>
      <c r="F384" s="284">
        <f t="shared" si="8"/>
        <v>20000</v>
      </c>
      <c r="G384" s="284">
        <v>20000</v>
      </c>
    </row>
    <row r="385" spans="1:7" ht="15.75" x14ac:dyDescent="0.25">
      <c r="A385" s="290" t="s">
        <v>713</v>
      </c>
      <c r="B385" s="264" t="s">
        <v>789</v>
      </c>
      <c r="C385" s="274">
        <v>0</v>
      </c>
      <c r="D385" s="274">
        <v>0</v>
      </c>
      <c r="E385" s="274">
        <v>0</v>
      </c>
      <c r="F385" s="284">
        <f t="shared" si="8"/>
        <v>0</v>
      </c>
      <c r="G385" s="274">
        <v>10000</v>
      </c>
    </row>
    <row r="386" spans="1:7" ht="15.75" x14ac:dyDescent="0.25">
      <c r="A386" s="262" t="s">
        <v>717</v>
      </c>
      <c r="B386" s="264" t="s">
        <v>527</v>
      </c>
      <c r="C386" s="274">
        <v>19384</v>
      </c>
      <c r="D386" s="274">
        <v>0</v>
      </c>
      <c r="E386" s="274">
        <v>20000</v>
      </c>
      <c r="F386" s="284">
        <f t="shared" si="8"/>
        <v>20000</v>
      </c>
      <c r="G386" s="274">
        <v>0</v>
      </c>
    </row>
    <row r="387" spans="1:7" ht="15.75" x14ac:dyDescent="0.25">
      <c r="A387" s="262" t="s">
        <v>829</v>
      </c>
      <c r="B387" s="264" t="s">
        <v>527</v>
      </c>
      <c r="C387" s="274">
        <v>0</v>
      </c>
      <c r="D387" s="274">
        <v>8000</v>
      </c>
      <c r="E387" s="274">
        <v>0</v>
      </c>
      <c r="F387" s="284">
        <f t="shared" si="8"/>
        <v>8000</v>
      </c>
      <c r="G387" s="274"/>
    </row>
    <row r="388" spans="1:7" ht="15.75" x14ac:dyDescent="0.25">
      <c r="A388" s="262" t="s">
        <v>721</v>
      </c>
      <c r="B388" s="264" t="s">
        <v>527</v>
      </c>
      <c r="C388" s="274">
        <v>72886</v>
      </c>
      <c r="D388" s="274">
        <v>0</v>
      </c>
      <c r="E388" s="274">
        <v>20000</v>
      </c>
      <c r="F388" s="284">
        <f t="shared" si="8"/>
        <v>20000</v>
      </c>
      <c r="G388" s="274">
        <v>20000</v>
      </c>
    </row>
    <row r="389" spans="1:7" ht="15.75" x14ac:dyDescent="0.25">
      <c r="A389" s="265" t="s">
        <v>722</v>
      </c>
      <c r="B389" s="76" t="s">
        <v>655</v>
      </c>
      <c r="C389" s="267">
        <f>SUM(C371:C388)</f>
        <v>1478897.9</v>
      </c>
      <c r="D389" s="267">
        <f>SUM(D371:D388)</f>
        <v>788106.74</v>
      </c>
      <c r="E389" s="267">
        <f>SUM(E371:E388)</f>
        <v>864012.52</v>
      </c>
      <c r="F389" s="267">
        <f>SUM(F371:F388)</f>
        <v>1652119.2600000002</v>
      </c>
      <c r="G389" s="267">
        <f>SUM(G371:G388)</f>
        <v>1834721.5699999998</v>
      </c>
    </row>
    <row r="390" spans="1:7" ht="16.5" x14ac:dyDescent="0.25">
      <c r="A390" s="268"/>
      <c r="B390" s="249"/>
      <c r="C390" s="249"/>
      <c r="D390" s="249"/>
      <c r="E390" s="249"/>
      <c r="F390" s="249"/>
      <c r="G390" s="249"/>
    </row>
    <row r="391" spans="1:7" ht="16.5" x14ac:dyDescent="0.25">
      <c r="A391" s="268"/>
      <c r="B391" s="249"/>
      <c r="C391" s="249"/>
      <c r="D391" s="249"/>
      <c r="E391" s="249"/>
      <c r="F391" s="249"/>
      <c r="G391" s="249"/>
    </row>
    <row r="392" spans="1:7" ht="16.5" x14ac:dyDescent="0.25">
      <c r="A392" s="268"/>
      <c r="B392" s="249"/>
      <c r="C392" s="249"/>
      <c r="D392" s="249"/>
      <c r="E392" s="249"/>
      <c r="F392" s="249"/>
      <c r="G392" s="269" t="s">
        <v>830</v>
      </c>
    </row>
    <row r="393" spans="1:7" ht="16.5" x14ac:dyDescent="0.25">
      <c r="A393" s="268"/>
      <c r="B393" s="249"/>
      <c r="C393" s="249"/>
      <c r="D393" s="249"/>
      <c r="E393" s="249"/>
      <c r="F393" s="249"/>
      <c r="G393" s="269"/>
    </row>
    <row r="394" spans="1:7" ht="16.5" x14ac:dyDescent="0.25">
      <c r="A394" s="268"/>
      <c r="B394" s="249"/>
      <c r="C394" s="249"/>
      <c r="D394" s="249"/>
      <c r="E394" s="249"/>
      <c r="F394" s="249"/>
      <c r="G394" s="269"/>
    </row>
    <row r="395" spans="1:7" ht="16.5" x14ac:dyDescent="0.25">
      <c r="A395" s="268"/>
      <c r="B395" s="249"/>
      <c r="C395" s="249"/>
      <c r="D395" s="249"/>
      <c r="E395" s="249"/>
      <c r="F395" s="249"/>
      <c r="G395" s="269"/>
    </row>
    <row r="396" spans="1:7" ht="16.5" x14ac:dyDescent="0.25">
      <c r="A396" s="248" t="s">
        <v>655</v>
      </c>
      <c r="B396" s="249"/>
      <c r="C396" s="249"/>
      <c r="D396" s="249"/>
      <c r="E396" s="249"/>
      <c r="F396" s="249" t="s">
        <v>655</v>
      </c>
      <c r="G396" s="250" t="s">
        <v>655</v>
      </c>
    </row>
    <row r="397" spans="1:7" ht="16.5" x14ac:dyDescent="0.25">
      <c r="A397" s="248" t="s">
        <v>674</v>
      </c>
      <c r="B397" s="249"/>
      <c r="C397" s="249"/>
      <c r="D397" s="249"/>
      <c r="E397" s="249"/>
      <c r="F397" s="249" t="s">
        <v>655</v>
      </c>
      <c r="G397" s="250" t="s">
        <v>675</v>
      </c>
    </row>
    <row r="398" spans="1:7" ht="18" x14ac:dyDescent="0.25">
      <c r="A398" s="324" t="s">
        <v>827</v>
      </c>
      <c r="B398" s="324"/>
      <c r="C398" s="324"/>
      <c r="D398" s="324"/>
      <c r="E398" s="324"/>
      <c r="F398" s="324"/>
      <c r="G398" s="324"/>
    </row>
    <row r="399" spans="1:7" ht="18" x14ac:dyDescent="0.25">
      <c r="A399" s="251"/>
      <c r="B399" s="251"/>
      <c r="C399" s="251"/>
      <c r="D399" s="251"/>
      <c r="E399" s="251"/>
      <c r="F399" s="251"/>
      <c r="G399" s="251"/>
    </row>
    <row r="400" spans="1:7" ht="15.75" x14ac:dyDescent="0.25">
      <c r="A400" s="252" t="s">
        <v>828</v>
      </c>
      <c r="B400" s="253"/>
      <c r="C400" s="253"/>
      <c r="D400" s="253"/>
      <c r="E400" s="253"/>
      <c r="F400" s="253"/>
      <c r="G400" s="253"/>
    </row>
    <row r="401" spans="1:7" ht="15.75" x14ac:dyDescent="0.25">
      <c r="A401" s="252"/>
      <c r="B401" s="253"/>
      <c r="C401" s="253"/>
      <c r="D401" s="253"/>
      <c r="E401" s="253"/>
      <c r="F401" s="253"/>
      <c r="G401" s="281"/>
    </row>
    <row r="402" spans="1:7" ht="15.75" x14ac:dyDescent="0.25">
      <c r="A402" s="351" t="s">
        <v>678</v>
      </c>
      <c r="B402" s="254" t="s">
        <v>679</v>
      </c>
      <c r="C402" s="254" t="s">
        <v>680</v>
      </c>
      <c r="D402" s="353" t="s">
        <v>681</v>
      </c>
      <c r="E402" s="354"/>
      <c r="F402" s="355"/>
      <c r="G402" s="254" t="s">
        <v>682</v>
      </c>
    </row>
    <row r="403" spans="1:7" ht="15.75" x14ac:dyDescent="0.25">
      <c r="A403" s="352"/>
      <c r="B403" s="255" t="s">
        <v>683</v>
      </c>
      <c r="C403" s="255" t="s">
        <v>684</v>
      </c>
      <c r="D403" s="255" t="s">
        <v>92</v>
      </c>
      <c r="E403" s="255" t="s">
        <v>93</v>
      </c>
      <c r="F403" s="356" t="s">
        <v>25</v>
      </c>
      <c r="G403" s="255" t="s">
        <v>454</v>
      </c>
    </row>
    <row r="404" spans="1:7" ht="15.75" x14ac:dyDescent="0.25">
      <c r="A404" s="352"/>
      <c r="B404" s="255"/>
      <c r="C404" s="255"/>
      <c r="D404" s="256" t="s">
        <v>684</v>
      </c>
      <c r="E404" s="256" t="s">
        <v>685</v>
      </c>
      <c r="F404" s="357"/>
      <c r="G404" s="255"/>
    </row>
    <row r="405" spans="1:7" ht="15.75" x14ac:dyDescent="0.25">
      <c r="A405" s="257" t="s">
        <v>686</v>
      </c>
      <c r="B405" s="258" t="s">
        <v>687</v>
      </c>
      <c r="C405" s="258" t="s">
        <v>688</v>
      </c>
      <c r="D405" s="259" t="s">
        <v>689</v>
      </c>
      <c r="E405" s="258" t="s">
        <v>690</v>
      </c>
      <c r="F405" s="258" t="s">
        <v>691</v>
      </c>
      <c r="G405" s="258" t="s">
        <v>692</v>
      </c>
    </row>
    <row r="406" spans="1:7" ht="31.5" x14ac:dyDescent="0.25">
      <c r="A406" s="323" t="s">
        <v>793</v>
      </c>
      <c r="B406" s="261"/>
      <c r="C406" s="261"/>
      <c r="D406" s="263"/>
      <c r="E406" s="263"/>
      <c r="F406" s="263"/>
      <c r="G406" s="263"/>
    </row>
    <row r="407" spans="1:7" ht="15.75" x14ac:dyDescent="0.25">
      <c r="A407" s="311"/>
      <c r="B407" s="263"/>
      <c r="C407" s="263"/>
      <c r="D407" s="263"/>
      <c r="E407" s="263"/>
      <c r="F407" s="263"/>
      <c r="G407" s="263"/>
    </row>
    <row r="408" spans="1:7" ht="15.75" x14ac:dyDescent="0.25">
      <c r="A408" s="262" t="s">
        <v>724</v>
      </c>
      <c r="B408" s="264" t="s">
        <v>505</v>
      </c>
      <c r="C408" s="48">
        <v>58487</v>
      </c>
      <c r="D408" s="48">
        <v>25776</v>
      </c>
      <c r="E408" s="48">
        <v>23924</v>
      </c>
      <c r="F408" s="48">
        <f>E408+D408</f>
        <v>49700</v>
      </c>
      <c r="G408" s="48">
        <v>49700</v>
      </c>
    </row>
    <row r="409" spans="1:7" ht="15.75" x14ac:dyDescent="0.25">
      <c r="A409" s="262" t="s">
        <v>725</v>
      </c>
      <c r="B409" s="264" t="s">
        <v>532</v>
      </c>
      <c r="C409" s="48">
        <v>60116.79</v>
      </c>
      <c r="D409" s="48">
        <v>20442.97</v>
      </c>
      <c r="E409" s="48">
        <v>27777.03</v>
      </c>
      <c r="F409" s="48">
        <f>E409+D409</f>
        <v>48220</v>
      </c>
      <c r="G409" s="48">
        <v>48220</v>
      </c>
    </row>
    <row r="410" spans="1:7" ht="15.75" x14ac:dyDescent="0.25">
      <c r="A410" s="262" t="s">
        <v>729</v>
      </c>
      <c r="B410" s="264" t="s">
        <v>568</v>
      </c>
      <c r="C410" s="48">
        <v>17808</v>
      </c>
      <c r="D410" s="48">
        <v>8998</v>
      </c>
      <c r="E410" s="48">
        <v>9002</v>
      </c>
      <c r="F410" s="48">
        <f>E410+D410</f>
        <v>18000</v>
      </c>
      <c r="G410" s="48">
        <v>18000</v>
      </c>
    </row>
    <row r="411" spans="1:7" ht="15.75" x14ac:dyDescent="0.25">
      <c r="A411" s="262" t="s">
        <v>730</v>
      </c>
      <c r="B411" s="264" t="s">
        <v>529</v>
      </c>
      <c r="C411" s="48">
        <v>7750</v>
      </c>
      <c r="D411" s="48">
        <v>7500</v>
      </c>
      <c r="E411" s="48">
        <v>22500</v>
      </c>
      <c r="F411" s="48">
        <f>E411+D411</f>
        <v>30000</v>
      </c>
      <c r="G411" s="48">
        <v>30000</v>
      </c>
    </row>
    <row r="412" spans="1:7" ht="15.75" x14ac:dyDescent="0.25">
      <c r="A412" s="262" t="s">
        <v>795</v>
      </c>
      <c r="B412" s="264" t="s">
        <v>545</v>
      </c>
      <c r="C412" s="274">
        <v>500</v>
      </c>
      <c r="D412" s="274">
        <v>0</v>
      </c>
      <c r="E412" s="274">
        <v>2000</v>
      </c>
      <c r="F412" s="48">
        <f>E412+D412</f>
        <v>2000</v>
      </c>
      <c r="G412" s="274">
        <v>2000</v>
      </c>
    </row>
    <row r="413" spans="1:7" ht="15.75" x14ac:dyDescent="0.25">
      <c r="A413" s="294" t="s">
        <v>281</v>
      </c>
      <c r="B413" s="263"/>
      <c r="C413" s="292">
        <f>SUM(C408:C412)</f>
        <v>144661.79</v>
      </c>
      <c r="D413" s="292">
        <f>SUM(D408:D412)</f>
        <v>62716.97</v>
      </c>
      <c r="E413" s="292">
        <f>SUM(E408:E412)</f>
        <v>85203.03</v>
      </c>
      <c r="F413" s="292">
        <f>SUM(F408:F412)</f>
        <v>147920</v>
      </c>
      <c r="G413" s="292">
        <f>SUM(G408:G412)</f>
        <v>147920</v>
      </c>
    </row>
    <row r="414" spans="1:7" ht="15.75" x14ac:dyDescent="0.25">
      <c r="A414" s="262"/>
      <c r="B414" s="263"/>
      <c r="C414" s="263"/>
      <c r="D414" s="263"/>
      <c r="E414" s="263"/>
      <c r="F414" s="48"/>
      <c r="G414" s="48"/>
    </row>
    <row r="415" spans="1:7" ht="15.75" x14ac:dyDescent="0.25">
      <c r="A415" s="302" t="s">
        <v>796</v>
      </c>
      <c r="B415" s="263"/>
      <c r="C415" s="263"/>
      <c r="D415" s="263"/>
      <c r="E415" s="263"/>
      <c r="F415" s="48"/>
      <c r="G415" s="48"/>
    </row>
    <row r="416" spans="1:7" ht="15.75" x14ac:dyDescent="0.25">
      <c r="A416" s="262" t="s">
        <v>655</v>
      </c>
      <c r="B416" s="263"/>
      <c r="C416" s="48">
        <v>0</v>
      </c>
      <c r="D416" s="48"/>
      <c r="E416" s="48"/>
      <c r="F416" s="48">
        <v>0</v>
      </c>
      <c r="G416" s="48">
        <v>0</v>
      </c>
    </row>
    <row r="417" spans="1:7" ht="15.75" x14ac:dyDescent="0.25">
      <c r="A417" s="294" t="s">
        <v>282</v>
      </c>
      <c r="B417" s="263"/>
      <c r="C417" s="312">
        <f>SUM(C416)</f>
        <v>0</v>
      </c>
      <c r="D417" s="312"/>
      <c r="E417" s="312"/>
      <c r="F417" s="312">
        <f>SUM(F416)</f>
        <v>0</v>
      </c>
      <c r="G417" s="312">
        <v>0</v>
      </c>
    </row>
    <row r="418" spans="1:7" ht="15.75" x14ac:dyDescent="0.25">
      <c r="A418" s="262"/>
      <c r="B418" s="263"/>
      <c r="C418" s="48"/>
      <c r="D418" s="48"/>
      <c r="E418" s="48"/>
      <c r="F418" s="48"/>
      <c r="G418" s="48"/>
    </row>
    <row r="419" spans="1:7" ht="15.75" x14ac:dyDescent="0.25">
      <c r="A419" s="265" t="s">
        <v>823</v>
      </c>
      <c r="B419" s="313"/>
      <c r="C419" s="304">
        <f>C389+C413+C417</f>
        <v>1623559.69</v>
      </c>
      <c r="D419" s="304">
        <f>D389+D413+D417</f>
        <v>850823.71</v>
      </c>
      <c r="E419" s="304">
        <f>E389+E413+E417</f>
        <v>949215.55</v>
      </c>
      <c r="F419" s="304">
        <f>F389+F413+F417</f>
        <v>1800039.2600000002</v>
      </c>
      <c r="G419" s="304">
        <f>G389+G413+G417</f>
        <v>1982641.5699999998</v>
      </c>
    </row>
    <row r="420" spans="1:7" ht="15.75" x14ac:dyDescent="0.25">
      <c r="A420" s="252"/>
      <c r="B420" s="253"/>
      <c r="C420" s="226"/>
      <c r="D420" s="226"/>
      <c r="E420" s="226"/>
      <c r="F420" s="226"/>
      <c r="G420" s="226"/>
    </row>
    <row r="421" spans="1:7" ht="16.5" x14ac:dyDescent="0.25">
      <c r="A421" s="252" t="s">
        <v>798</v>
      </c>
      <c r="B421" s="253" t="s">
        <v>799</v>
      </c>
      <c r="C421" s="253"/>
      <c r="D421" s="253"/>
      <c r="E421" s="253" t="s">
        <v>651</v>
      </c>
      <c r="F421" s="314"/>
      <c r="G421" s="253"/>
    </row>
    <row r="422" spans="1:7" ht="16.5" x14ac:dyDescent="0.25">
      <c r="A422" s="252"/>
      <c r="B422" s="253"/>
      <c r="C422" s="253"/>
      <c r="D422" s="253"/>
      <c r="E422" s="253"/>
      <c r="F422" s="314"/>
      <c r="G422" s="253"/>
    </row>
    <row r="423" spans="1:7" ht="15.75" x14ac:dyDescent="0.25">
      <c r="A423" s="252"/>
      <c r="B423" s="253"/>
      <c r="C423" s="253"/>
      <c r="D423" s="253"/>
      <c r="E423" s="253"/>
      <c r="F423" s="253"/>
      <c r="G423" s="253"/>
    </row>
    <row r="424" spans="1:7" ht="15.75" x14ac:dyDescent="0.25">
      <c r="A424" s="296" t="s">
        <v>831</v>
      </c>
      <c r="B424" s="359" t="s">
        <v>800</v>
      </c>
      <c r="C424" s="359"/>
      <c r="D424" s="359"/>
      <c r="E424" s="359" t="s">
        <v>778</v>
      </c>
      <c r="F424" s="359"/>
      <c r="G424" s="359"/>
    </row>
    <row r="425" spans="1:7" ht="15.75" x14ac:dyDescent="0.25">
      <c r="A425" s="298" t="s">
        <v>832</v>
      </c>
      <c r="B425" s="360" t="s">
        <v>780</v>
      </c>
      <c r="C425" s="360"/>
      <c r="D425" s="360"/>
      <c r="E425" s="360" t="s">
        <v>802</v>
      </c>
      <c r="F425" s="360"/>
      <c r="G425" s="360"/>
    </row>
    <row r="426" spans="1:7" ht="15.75" x14ac:dyDescent="0.25">
      <c r="A426" s="252"/>
      <c r="B426" s="253"/>
      <c r="C426" s="253"/>
      <c r="D426" s="253"/>
      <c r="E426" s="253"/>
      <c r="F426" s="253"/>
      <c r="G426" s="253"/>
    </row>
    <row r="427" spans="1:7" ht="15.75" x14ac:dyDescent="0.25">
      <c r="A427" s="252"/>
      <c r="B427" s="253"/>
      <c r="C427" s="253"/>
      <c r="D427" s="253"/>
      <c r="E427" s="253"/>
      <c r="F427" s="253"/>
      <c r="G427" s="269" t="s">
        <v>833</v>
      </c>
    </row>
    <row r="428" spans="1:7" ht="15.75" x14ac:dyDescent="0.25">
      <c r="A428" s="252"/>
      <c r="B428" s="253"/>
      <c r="C428" s="253"/>
      <c r="D428" s="253"/>
      <c r="E428" s="253"/>
      <c r="F428" s="253"/>
      <c r="G428" s="253"/>
    </row>
    <row r="429" spans="1:7" ht="15.75" x14ac:dyDescent="0.25">
      <c r="A429" s="252"/>
      <c r="B429" s="253"/>
      <c r="C429" s="253"/>
      <c r="D429" s="253"/>
      <c r="E429" s="253"/>
      <c r="F429" s="253"/>
      <c r="G429" s="253"/>
    </row>
    <row r="430" spans="1:7" ht="16.5" x14ac:dyDescent="0.25">
      <c r="A430" s="268"/>
      <c r="B430" s="249"/>
      <c r="C430" s="249"/>
      <c r="D430" s="249"/>
      <c r="E430" s="249"/>
      <c r="F430" s="249"/>
      <c r="G430" s="249"/>
    </row>
    <row r="431" spans="1:7" ht="16.5" x14ac:dyDescent="0.25">
      <c r="A431" s="248" t="s">
        <v>674</v>
      </c>
      <c r="B431" s="249"/>
      <c r="C431" s="249"/>
      <c r="D431" s="249"/>
      <c r="E431" s="249"/>
      <c r="F431" s="249" t="s">
        <v>655</v>
      </c>
      <c r="G431" s="250" t="s">
        <v>675</v>
      </c>
    </row>
    <row r="432" spans="1:7" ht="16.5" x14ac:dyDescent="0.25">
      <c r="A432" s="248"/>
      <c r="B432" s="249"/>
      <c r="C432" s="249"/>
      <c r="D432" s="249"/>
      <c r="E432" s="249"/>
      <c r="F432" s="249"/>
      <c r="G432" s="250"/>
    </row>
    <row r="433" spans="1:7" ht="18" x14ac:dyDescent="0.25">
      <c r="A433" s="350" t="s">
        <v>676</v>
      </c>
      <c r="B433" s="350"/>
      <c r="C433" s="350"/>
      <c r="D433" s="350"/>
      <c r="E433" s="350"/>
      <c r="F433" s="350"/>
      <c r="G433" s="350"/>
    </row>
    <row r="434" spans="1:7" ht="18" x14ac:dyDescent="0.25">
      <c r="A434" s="251"/>
      <c r="B434" s="251"/>
      <c r="C434" s="251"/>
      <c r="D434" s="251"/>
      <c r="E434" s="251"/>
      <c r="F434" s="251"/>
      <c r="G434" s="251"/>
    </row>
    <row r="435" spans="1:7" ht="15.75" x14ac:dyDescent="0.25">
      <c r="A435" s="252" t="s">
        <v>834</v>
      </c>
      <c r="B435" s="253"/>
      <c r="C435" s="253"/>
      <c r="D435" s="253"/>
      <c r="E435" s="253"/>
      <c r="F435" s="253"/>
      <c r="G435" s="253"/>
    </row>
    <row r="436" spans="1:7" ht="15.75" x14ac:dyDescent="0.25">
      <c r="A436" s="252" t="s">
        <v>655</v>
      </c>
      <c r="B436" s="253"/>
      <c r="C436" s="253"/>
      <c r="D436" s="253"/>
      <c r="E436" s="253"/>
      <c r="F436" s="253"/>
      <c r="G436" s="281"/>
    </row>
    <row r="437" spans="1:7" ht="15.75" x14ac:dyDescent="0.25">
      <c r="A437" s="351" t="s">
        <v>678</v>
      </c>
      <c r="B437" s="254" t="s">
        <v>679</v>
      </c>
      <c r="C437" s="254" t="s">
        <v>680</v>
      </c>
      <c r="D437" s="353" t="s">
        <v>681</v>
      </c>
      <c r="E437" s="354"/>
      <c r="F437" s="355"/>
      <c r="G437" s="254" t="s">
        <v>682</v>
      </c>
    </row>
    <row r="438" spans="1:7" ht="15.75" x14ac:dyDescent="0.25">
      <c r="A438" s="352"/>
      <c r="B438" s="255" t="s">
        <v>683</v>
      </c>
      <c r="C438" s="255" t="s">
        <v>684</v>
      </c>
      <c r="D438" s="255" t="s">
        <v>92</v>
      </c>
      <c r="E438" s="255" t="s">
        <v>93</v>
      </c>
      <c r="F438" s="356" t="s">
        <v>25</v>
      </c>
      <c r="G438" s="255" t="s">
        <v>454</v>
      </c>
    </row>
    <row r="439" spans="1:7" ht="15.75" x14ac:dyDescent="0.25">
      <c r="A439" s="352"/>
      <c r="B439" s="255"/>
      <c r="C439" s="255"/>
      <c r="D439" s="256" t="s">
        <v>684</v>
      </c>
      <c r="E439" s="256" t="s">
        <v>685</v>
      </c>
      <c r="F439" s="357"/>
      <c r="G439" s="255"/>
    </row>
    <row r="440" spans="1:7" ht="15.75" x14ac:dyDescent="0.25">
      <c r="A440" s="257" t="s">
        <v>686</v>
      </c>
      <c r="B440" s="258" t="s">
        <v>687</v>
      </c>
      <c r="C440" s="258" t="s">
        <v>688</v>
      </c>
      <c r="D440" s="259" t="s">
        <v>689</v>
      </c>
      <c r="E440" s="258" t="s">
        <v>690</v>
      </c>
      <c r="F440" s="258" t="s">
        <v>691</v>
      </c>
      <c r="G440" s="258" t="s">
        <v>692</v>
      </c>
    </row>
    <row r="441" spans="1:7" ht="15.75" x14ac:dyDescent="0.25">
      <c r="A441" s="260" t="s">
        <v>693</v>
      </c>
      <c r="B441" s="261"/>
      <c r="C441" s="261"/>
      <c r="D441" s="263"/>
      <c r="E441" s="263"/>
      <c r="F441" s="263"/>
      <c r="G441" s="263"/>
    </row>
    <row r="442" spans="1:7" ht="15.75" x14ac:dyDescent="0.25">
      <c r="A442" s="302" t="s">
        <v>784</v>
      </c>
      <c r="B442" s="263"/>
      <c r="C442" s="263"/>
      <c r="D442" s="263"/>
      <c r="E442" s="263"/>
      <c r="F442" s="263"/>
      <c r="G442" s="263"/>
    </row>
    <row r="443" spans="1:7" ht="15.75" x14ac:dyDescent="0.25">
      <c r="A443" s="262" t="s">
        <v>695</v>
      </c>
      <c r="B443" s="264" t="s">
        <v>505</v>
      </c>
      <c r="C443" s="284">
        <v>944259</v>
      </c>
      <c r="D443" s="284">
        <v>519126</v>
      </c>
      <c r="E443" s="284">
        <v>519126</v>
      </c>
      <c r="F443" s="284">
        <f>E443+D443</f>
        <v>1038252</v>
      </c>
      <c r="G443" s="284">
        <v>1385988</v>
      </c>
    </row>
    <row r="444" spans="1:7" ht="15.75" x14ac:dyDescent="0.25">
      <c r="A444" s="262" t="s">
        <v>696</v>
      </c>
      <c r="B444" s="264" t="s">
        <v>521</v>
      </c>
      <c r="C444" s="284">
        <v>113311.08</v>
      </c>
      <c r="D444" s="284">
        <v>62295.12</v>
      </c>
      <c r="E444" s="284">
        <v>62295.12</v>
      </c>
      <c r="F444" s="284">
        <f t="shared" ref="F444:F460" si="9">E444+D444</f>
        <v>124590.24</v>
      </c>
      <c r="G444" s="284">
        <v>166318.56</v>
      </c>
    </row>
    <row r="445" spans="1:7" ht="15.75" x14ac:dyDescent="0.25">
      <c r="A445" s="262" t="s">
        <v>697</v>
      </c>
      <c r="B445" s="264" t="s">
        <v>527</v>
      </c>
      <c r="C445" s="284">
        <v>0</v>
      </c>
      <c r="D445" s="284">
        <v>63459.18</v>
      </c>
      <c r="E445" s="284">
        <v>3971.08</v>
      </c>
      <c r="F445" s="284">
        <f t="shared" si="9"/>
        <v>67430.259999999995</v>
      </c>
      <c r="G445" s="284">
        <v>166986.26</v>
      </c>
    </row>
    <row r="446" spans="1:7" ht="15.75" x14ac:dyDescent="0.25">
      <c r="A446" s="262" t="s">
        <v>698</v>
      </c>
      <c r="B446" s="264" t="s">
        <v>508</v>
      </c>
      <c r="C446" s="284">
        <v>96000</v>
      </c>
      <c r="D446" s="284">
        <v>48000</v>
      </c>
      <c r="E446" s="284">
        <v>48000</v>
      </c>
      <c r="F446" s="284">
        <f t="shared" si="9"/>
        <v>96000</v>
      </c>
      <c r="G446" s="284">
        <v>120000</v>
      </c>
    </row>
    <row r="447" spans="1:7" ht="15.75" x14ac:dyDescent="0.25">
      <c r="A447" s="262" t="s">
        <v>699</v>
      </c>
      <c r="B447" s="264" t="s">
        <v>664</v>
      </c>
      <c r="C447" s="284">
        <v>20000</v>
      </c>
      <c r="D447" s="284">
        <v>0</v>
      </c>
      <c r="E447" s="284">
        <v>0</v>
      </c>
      <c r="F447" s="284">
        <f t="shared" si="9"/>
        <v>0</v>
      </c>
      <c r="G447" s="284">
        <v>0</v>
      </c>
    </row>
    <row r="448" spans="1:7" ht="15.75" x14ac:dyDescent="0.25">
      <c r="A448" s="262" t="s">
        <v>700</v>
      </c>
      <c r="B448" s="264" t="s">
        <v>522</v>
      </c>
      <c r="C448" s="284">
        <v>18885.18</v>
      </c>
      <c r="D448" s="284">
        <v>10382.52</v>
      </c>
      <c r="E448" s="284">
        <v>10382.52</v>
      </c>
      <c r="F448" s="284">
        <f t="shared" si="9"/>
        <v>20765.04</v>
      </c>
      <c r="G448" s="284">
        <v>27719.759999999998</v>
      </c>
    </row>
    <row r="449" spans="1:7" ht="15.75" x14ac:dyDescent="0.25">
      <c r="A449" s="262" t="s">
        <v>701</v>
      </c>
      <c r="B449" s="264" t="s">
        <v>523</v>
      </c>
      <c r="C449" s="284">
        <v>11100</v>
      </c>
      <c r="D449" s="284">
        <v>5625</v>
      </c>
      <c r="E449" s="284">
        <v>6075</v>
      </c>
      <c r="F449" s="284">
        <f t="shared" si="9"/>
        <v>11700</v>
      </c>
      <c r="G449" s="284">
        <v>14700</v>
      </c>
    </row>
    <row r="450" spans="1:7" ht="15.75" x14ac:dyDescent="0.25">
      <c r="A450" s="262" t="s">
        <v>702</v>
      </c>
      <c r="B450" s="264" t="s">
        <v>524</v>
      </c>
      <c r="C450" s="284">
        <v>4606.32</v>
      </c>
      <c r="D450" s="284">
        <v>2324.64</v>
      </c>
      <c r="E450" s="284">
        <v>8043.08</v>
      </c>
      <c r="F450" s="284">
        <f t="shared" si="9"/>
        <v>10367.719999999999</v>
      </c>
      <c r="G450" s="284">
        <v>13859.88</v>
      </c>
    </row>
    <row r="451" spans="1:7" ht="15.75" x14ac:dyDescent="0.25">
      <c r="A451" s="262" t="s">
        <v>785</v>
      </c>
      <c r="B451" s="264" t="s">
        <v>704</v>
      </c>
      <c r="C451" s="284">
        <v>0</v>
      </c>
      <c r="D451" s="284">
        <v>86521</v>
      </c>
      <c r="E451" s="284">
        <v>-1</v>
      </c>
      <c r="F451" s="284">
        <f t="shared" si="9"/>
        <v>86520</v>
      </c>
      <c r="G451" s="284">
        <v>115499</v>
      </c>
    </row>
    <row r="452" spans="1:7" ht="15.75" x14ac:dyDescent="0.25">
      <c r="A452" s="262" t="s">
        <v>705</v>
      </c>
      <c r="B452" s="264" t="s">
        <v>704</v>
      </c>
      <c r="C452" s="284">
        <v>78760</v>
      </c>
      <c r="D452" s="284">
        <v>0</v>
      </c>
      <c r="E452" s="284">
        <v>86521</v>
      </c>
      <c r="F452" s="284">
        <f t="shared" si="9"/>
        <v>86521</v>
      </c>
      <c r="G452" s="284">
        <v>115499</v>
      </c>
    </row>
    <row r="453" spans="1:7" ht="15.75" x14ac:dyDescent="0.25">
      <c r="A453" s="262" t="s">
        <v>706</v>
      </c>
      <c r="B453" s="264" t="s">
        <v>707</v>
      </c>
      <c r="C453" s="284">
        <v>20000</v>
      </c>
      <c r="D453" s="284">
        <v>10000</v>
      </c>
      <c r="E453" s="284">
        <v>10000</v>
      </c>
      <c r="F453" s="284">
        <f t="shared" si="9"/>
        <v>20000</v>
      </c>
      <c r="G453" s="284">
        <v>25000</v>
      </c>
    </row>
    <row r="454" spans="1:7" ht="15.75" x14ac:dyDescent="0.25">
      <c r="A454" s="262" t="s">
        <v>786</v>
      </c>
      <c r="B454" s="264" t="s">
        <v>709</v>
      </c>
      <c r="C454" s="284">
        <v>67500</v>
      </c>
      <c r="D454" s="284">
        <v>33750</v>
      </c>
      <c r="E454" s="284">
        <v>33750</v>
      </c>
      <c r="F454" s="284">
        <f t="shared" si="9"/>
        <v>67500</v>
      </c>
      <c r="G454" s="284">
        <v>67500</v>
      </c>
    </row>
    <row r="455" spans="1:7" ht="15.75" x14ac:dyDescent="0.25">
      <c r="A455" s="262" t="s">
        <v>787</v>
      </c>
      <c r="B455" s="264" t="s">
        <v>510</v>
      </c>
      <c r="C455" s="284">
        <v>67500</v>
      </c>
      <c r="D455" s="284">
        <v>33750</v>
      </c>
      <c r="E455" s="284">
        <v>33750</v>
      </c>
      <c r="F455" s="284">
        <f t="shared" si="9"/>
        <v>67500</v>
      </c>
      <c r="G455" s="284">
        <v>67500</v>
      </c>
    </row>
    <row r="456" spans="1:7" ht="15.75" x14ac:dyDescent="0.25">
      <c r="A456" s="262" t="s">
        <v>788</v>
      </c>
      <c r="B456" s="264" t="s">
        <v>712</v>
      </c>
      <c r="C456" s="284">
        <v>20000</v>
      </c>
      <c r="D456" s="284">
        <v>20000</v>
      </c>
      <c r="E456" s="284">
        <v>0</v>
      </c>
      <c r="F456" s="284">
        <f t="shared" si="9"/>
        <v>20000</v>
      </c>
      <c r="G456" s="284">
        <v>25000</v>
      </c>
    </row>
    <row r="457" spans="1:7" ht="15.75" x14ac:dyDescent="0.25">
      <c r="A457" s="262" t="s">
        <v>713</v>
      </c>
      <c r="B457" s="264" t="s">
        <v>789</v>
      </c>
      <c r="C457" s="274">
        <v>5000</v>
      </c>
      <c r="D457" s="274">
        <v>0</v>
      </c>
      <c r="E457" s="274">
        <v>0</v>
      </c>
      <c r="F457" s="284">
        <f t="shared" si="9"/>
        <v>0</v>
      </c>
      <c r="G457" s="274">
        <v>0</v>
      </c>
    </row>
    <row r="458" spans="1:7" ht="15.75" x14ac:dyDescent="0.25">
      <c r="A458" s="262" t="s">
        <v>717</v>
      </c>
      <c r="B458" s="264" t="s">
        <v>527</v>
      </c>
      <c r="C458" s="274">
        <v>19957.5</v>
      </c>
      <c r="D458" s="274">
        <v>0</v>
      </c>
      <c r="E458" s="274">
        <v>20000</v>
      </c>
      <c r="F458" s="284">
        <f t="shared" si="9"/>
        <v>20000</v>
      </c>
      <c r="G458" s="274">
        <v>0</v>
      </c>
    </row>
    <row r="459" spans="1:7" ht="15.75" x14ac:dyDescent="0.25">
      <c r="A459" s="262" t="s">
        <v>829</v>
      </c>
      <c r="B459" s="264" t="s">
        <v>527</v>
      </c>
      <c r="C459" s="274"/>
      <c r="D459" s="274">
        <v>8000</v>
      </c>
      <c r="E459" s="274">
        <v>0</v>
      </c>
      <c r="F459" s="284">
        <f t="shared" si="9"/>
        <v>8000</v>
      </c>
      <c r="G459" s="274"/>
    </row>
    <row r="460" spans="1:7" ht="15.75" x14ac:dyDescent="0.25">
      <c r="A460" s="262" t="s">
        <v>721</v>
      </c>
      <c r="B460" s="264" t="s">
        <v>527</v>
      </c>
      <c r="C460" s="284">
        <v>78760</v>
      </c>
      <c r="D460" s="284">
        <v>0</v>
      </c>
      <c r="E460" s="284">
        <v>20000</v>
      </c>
      <c r="F460" s="284">
        <f t="shared" si="9"/>
        <v>20000</v>
      </c>
      <c r="G460" s="274">
        <v>25000</v>
      </c>
    </row>
    <row r="461" spans="1:7" ht="15.75" x14ac:dyDescent="0.25">
      <c r="A461" s="265" t="s">
        <v>722</v>
      </c>
      <c r="B461" s="267"/>
      <c r="C461" s="267">
        <f>SUM(C441:C460)</f>
        <v>1565639.08</v>
      </c>
      <c r="D461" s="267">
        <f>SUM(D441:D460)</f>
        <v>903233.46000000008</v>
      </c>
      <c r="E461" s="267">
        <f>SUM(E441:E460)</f>
        <v>861912.79999999993</v>
      </c>
      <c r="F461" s="267">
        <f>SUM(F441:F460)</f>
        <v>1765146.26</v>
      </c>
      <c r="G461" s="267">
        <f>SUM(G443:G460)</f>
        <v>2336570.46</v>
      </c>
    </row>
    <row r="462" spans="1:7" ht="16.5" x14ac:dyDescent="0.25">
      <c r="A462" s="268"/>
      <c r="B462" s="249"/>
      <c r="C462" s="249"/>
      <c r="D462" s="249"/>
      <c r="E462" s="249"/>
      <c r="F462" s="249"/>
      <c r="G462" s="249"/>
    </row>
    <row r="463" spans="1:7" ht="16.5" x14ac:dyDescent="0.25">
      <c r="A463" s="268"/>
      <c r="B463" s="249"/>
      <c r="C463" s="249"/>
      <c r="D463" s="249"/>
      <c r="E463" s="249"/>
      <c r="F463" s="249"/>
      <c r="G463" s="269" t="s">
        <v>835</v>
      </c>
    </row>
    <row r="464" spans="1:7" ht="16.5" x14ac:dyDescent="0.25">
      <c r="A464" s="268"/>
      <c r="B464" s="249"/>
      <c r="C464" s="249"/>
      <c r="D464" s="249"/>
      <c r="E464" s="249"/>
      <c r="F464" s="249"/>
      <c r="G464" s="269"/>
    </row>
    <row r="465" spans="1:7" ht="16.5" x14ac:dyDescent="0.25">
      <c r="A465" s="268"/>
      <c r="B465" s="249"/>
      <c r="C465" s="249"/>
      <c r="D465" s="249"/>
      <c r="E465" s="249"/>
      <c r="F465" s="249"/>
      <c r="G465" s="269"/>
    </row>
    <row r="466" spans="1:7" ht="16.5" x14ac:dyDescent="0.25">
      <c r="A466" s="268"/>
      <c r="B466" s="249"/>
      <c r="C466" s="249"/>
      <c r="D466" s="249"/>
      <c r="E466" s="249"/>
      <c r="F466" s="249"/>
      <c r="G466" s="269"/>
    </row>
    <row r="467" spans="1:7" ht="16.5" x14ac:dyDescent="0.25">
      <c r="A467" s="248" t="s">
        <v>674</v>
      </c>
      <c r="B467" s="249"/>
      <c r="C467" s="249"/>
      <c r="D467" s="249"/>
      <c r="E467" s="249"/>
      <c r="F467" s="249" t="s">
        <v>655</v>
      </c>
      <c r="G467" s="250" t="s">
        <v>675</v>
      </c>
    </row>
    <row r="468" spans="1:7" ht="18" x14ac:dyDescent="0.25">
      <c r="A468" s="350" t="s">
        <v>676</v>
      </c>
      <c r="B468" s="350"/>
      <c r="C468" s="350"/>
      <c r="D468" s="350"/>
      <c r="E468" s="350"/>
      <c r="F468" s="350"/>
      <c r="G468" s="350"/>
    </row>
    <row r="469" spans="1:7" ht="18" x14ac:dyDescent="0.25">
      <c r="A469" s="251"/>
      <c r="B469" s="251"/>
      <c r="C469" s="251"/>
      <c r="D469" s="251"/>
      <c r="E469" s="251"/>
      <c r="F469" s="251"/>
      <c r="G469" s="251"/>
    </row>
    <row r="470" spans="1:7" ht="15.75" x14ac:dyDescent="0.25">
      <c r="A470" s="252" t="s">
        <v>834</v>
      </c>
      <c r="B470" s="253"/>
      <c r="C470" s="253"/>
      <c r="D470" s="253"/>
      <c r="E470" s="253"/>
      <c r="F470" s="253"/>
      <c r="G470" s="253"/>
    </row>
    <row r="471" spans="1:7" ht="15.75" x14ac:dyDescent="0.25">
      <c r="A471" s="252" t="s">
        <v>655</v>
      </c>
      <c r="B471" s="253"/>
      <c r="C471" s="253"/>
      <c r="D471" s="253"/>
      <c r="E471" s="253"/>
      <c r="F471" s="253"/>
      <c r="G471" s="281"/>
    </row>
    <row r="472" spans="1:7" ht="15.75" x14ac:dyDescent="0.25">
      <c r="A472" s="351" t="s">
        <v>678</v>
      </c>
      <c r="B472" s="254" t="s">
        <v>679</v>
      </c>
      <c r="C472" s="254" t="s">
        <v>680</v>
      </c>
      <c r="D472" s="353" t="s">
        <v>681</v>
      </c>
      <c r="E472" s="354"/>
      <c r="F472" s="355"/>
      <c r="G472" s="254" t="s">
        <v>682</v>
      </c>
    </row>
    <row r="473" spans="1:7" ht="15.75" x14ac:dyDescent="0.25">
      <c r="A473" s="352"/>
      <c r="B473" s="255" t="s">
        <v>683</v>
      </c>
      <c r="C473" s="255" t="s">
        <v>684</v>
      </c>
      <c r="D473" s="255" t="s">
        <v>92</v>
      </c>
      <c r="E473" s="255" t="s">
        <v>93</v>
      </c>
      <c r="F473" s="356" t="s">
        <v>25</v>
      </c>
      <c r="G473" s="255" t="s">
        <v>454</v>
      </c>
    </row>
    <row r="474" spans="1:7" ht="15.75" x14ac:dyDescent="0.25">
      <c r="A474" s="352"/>
      <c r="B474" s="255"/>
      <c r="C474" s="255"/>
      <c r="D474" s="256" t="s">
        <v>684</v>
      </c>
      <c r="E474" s="256" t="s">
        <v>685</v>
      </c>
      <c r="F474" s="357"/>
      <c r="G474" s="255"/>
    </row>
    <row r="475" spans="1:7" ht="15.75" x14ac:dyDescent="0.25">
      <c r="A475" s="257" t="s">
        <v>686</v>
      </c>
      <c r="B475" s="258" t="s">
        <v>687</v>
      </c>
      <c r="C475" s="258" t="s">
        <v>688</v>
      </c>
      <c r="D475" s="259" t="s">
        <v>689</v>
      </c>
      <c r="E475" s="258" t="s">
        <v>690</v>
      </c>
      <c r="F475" s="258" t="s">
        <v>691</v>
      </c>
      <c r="G475" s="258" t="s">
        <v>692</v>
      </c>
    </row>
    <row r="476" spans="1:7" ht="31.5" x14ac:dyDescent="0.25">
      <c r="A476" s="323" t="s">
        <v>793</v>
      </c>
      <c r="B476" s="261"/>
      <c r="C476" s="261"/>
      <c r="D476" s="263"/>
      <c r="E476" s="263"/>
      <c r="F476" s="263"/>
      <c r="G476" s="263"/>
    </row>
    <row r="477" spans="1:7" ht="15.75" x14ac:dyDescent="0.25">
      <c r="A477" s="262" t="s">
        <v>724</v>
      </c>
      <c r="B477" s="264" t="s">
        <v>505</v>
      </c>
      <c r="C477" s="48">
        <v>149941.29999999999</v>
      </c>
      <c r="D477" s="48">
        <v>80631</v>
      </c>
      <c r="E477" s="48">
        <v>69369</v>
      </c>
      <c r="F477" s="48">
        <f>E477+D477</f>
        <v>150000</v>
      </c>
      <c r="G477" s="48">
        <v>150000</v>
      </c>
    </row>
    <row r="478" spans="1:7" ht="15.75" x14ac:dyDescent="0.25">
      <c r="A478" s="262" t="s">
        <v>725</v>
      </c>
      <c r="B478" s="264" t="s">
        <v>532</v>
      </c>
      <c r="C478" s="48">
        <v>45685.95</v>
      </c>
      <c r="D478" s="48">
        <v>24656.46</v>
      </c>
      <c r="E478" s="48">
        <v>20143.54</v>
      </c>
      <c r="F478" s="48">
        <f>E478+D478</f>
        <v>44800</v>
      </c>
      <c r="G478" s="48">
        <v>44800</v>
      </c>
    </row>
    <row r="479" spans="1:7" ht="15.75" x14ac:dyDescent="0.25">
      <c r="A479" s="262" t="s">
        <v>729</v>
      </c>
      <c r="B479" s="264" t="s">
        <v>568</v>
      </c>
      <c r="C479" s="48">
        <v>56286</v>
      </c>
      <c r="D479" s="48">
        <v>38160</v>
      </c>
      <c r="E479" s="48">
        <v>11840</v>
      </c>
      <c r="F479" s="48">
        <f>E479+D479</f>
        <v>50000</v>
      </c>
      <c r="G479" s="48">
        <v>50000</v>
      </c>
    </row>
    <row r="480" spans="1:7" ht="15.75" x14ac:dyDescent="0.25">
      <c r="A480" s="262" t="s">
        <v>730</v>
      </c>
      <c r="B480" s="264" t="s">
        <v>529</v>
      </c>
      <c r="C480" s="48">
        <v>12300</v>
      </c>
      <c r="D480" s="48">
        <v>4800</v>
      </c>
      <c r="E480" s="48">
        <v>10200</v>
      </c>
      <c r="F480" s="48">
        <f>E480+D480</f>
        <v>15000</v>
      </c>
      <c r="G480" s="48">
        <v>15000</v>
      </c>
    </row>
    <row r="481" spans="1:7" ht="15.75" x14ac:dyDescent="0.25">
      <c r="A481" s="262" t="s">
        <v>795</v>
      </c>
      <c r="B481" s="264" t="s">
        <v>545</v>
      </c>
      <c r="C481" s="274">
        <v>0</v>
      </c>
      <c r="D481" s="274">
        <v>0</v>
      </c>
      <c r="E481" s="274">
        <v>5000</v>
      </c>
      <c r="F481" s="48">
        <f>E481+D481</f>
        <v>5000</v>
      </c>
      <c r="G481" s="274">
        <v>5000</v>
      </c>
    </row>
    <row r="482" spans="1:7" ht="15.75" x14ac:dyDescent="0.25">
      <c r="A482" s="294" t="s">
        <v>281</v>
      </c>
      <c r="B482" s="263"/>
      <c r="C482" s="312">
        <f>SUM(C477:C481)</f>
        <v>264213.25</v>
      </c>
      <c r="D482" s="312">
        <f>SUM(D477:D481)</f>
        <v>148247.46</v>
      </c>
      <c r="E482" s="312">
        <f>SUM(E477:E481)</f>
        <v>116552.54000000001</v>
      </c>
      <c r="F482" s="312">
        <f>SUM(F477:F481)</f>
        <v>264800</v>
      </c>
      <c r="G482" s="312">
        <f>SUM(G477:G481)</f>
        <v>264800</v>
      </c>
    </row>
    <row r="483" spans="1:7" ht="15.75" x14ac:dyDescent="0.25">
      <c r="A483" s="262"/>
      <c r="B483" s="263"/>
      <c r="C483" s="263"/>
      <c r="D483" s="263"/>
      <c r="E483" s="263"/>
      <c r="F483" s="48"/>
      <c r="G483" s="48"/>
    </row>
    <row r="484" spans="1:7" ht="15.75" x14ac:dyDescent="0.25">
      <c r="A484" s="302" t="s">
        <v>796</v>
      </c>
      <c r="B484" s="263"/>
      <c r="C484" s="263"/>
      <c r="D484" s="263"/>
      <c r="E484" s="263"/>
      <c r="F484" s="48"/>
      <c r="G484" s="48"/>
    </row>
    <row r="485" spans="1:7" ht="15.75" x14ac:dyDescent="0.25">
      <c r="A485" s="302"/>
      <c r="B485" s="263"/>
      <c r="C485" s="263"/>
      <c r="D485" s="263"/>
      <c r="E485" s="263"/>
      <c r="F485" s="48"/>
      <c r="G485" s="48"/>
    </row>
    <row r="486" spans="1:7" ht="15.75" x14ac:dyDescent="0.25">
      <c r="A486" s="262" t="s">
        <v>822</v>
      </c>
      <c r="B486" s="263"/>
      <c r="C486" s="48">
        <v>0</v>
      </c>
      <c r="D486" s="48"/>
      <c r="E486" s="48"/>
      <c r="F486" s="48">
        <v>0</v>
      </c>
      <c r="G486" s="48">
        <v>0</v>
      </c>
    </row>
    <row r="487" spans="1:7" ht="15.75" x14ac:dyDescent="0.25">
      <c r="A487" s="262"/>
      <c r="B487" s="263"/>
      <c r="C487" s="48"/>
      <c r="D487" s="48"/>
      <c r="E487" s="48"/>
      <c r="F487" s="48"/>
      <c r="G487" s="48"/>
    </row>
    <row r="488" spans="1:7" ht="15.75" x14ac:dyDescent="0.25">
      <c r="A488" s="294" t="s">
        <v>282</v>
      </c>
      <c r="B488" s="263"/>
      <c r="C488" s="312">
        <f>SUM(C486)</f>
        <v>0</v>
      </c>
      <c r="D488" s="312"/>
      <c r="E488" s="312"/>
      <c r="F488" s="312">
        <f>SUM(F486)</f>
        <v>0</v>
      </c>
      <c r="G488" s="312">
        <f>SUM(G486)</f>
        <v>0</v>
      </c>
    </row>
    <row r="489" spans="1:7" ht="15.75" x14ac:dyDescent="0.25">
      <c r="A489" s="262"/>
      <c r="B489" s="263"/>
      <c r="C489" s="48"/>
      <c r="D489" s="48"/>
      <c r="E489" s="48"/>
      <c r="F489" s="48"/>
      <c r="G489" s="48"/>
    </row>
    <row r="490" spans="1:7" ht="15.75" x14ac:dyDescent="0.25">
      <c r="A490" s="265" t="s">
        <v>279</v>
      </c>
      <c r="B490" s="313"/>
      <c r="C490" s="304">
        <f>C461+C482+C488</f>
        <v>1829852.33</v>
      </c>
      <c r="D490" s="304">
        <f>D461+D482+D488</f>
        <v>1051480.9200000002</v>
      </c>
      <c r="E490" s="304">
        <f>E461+E482+E488</f>
        <v>978465.34</v>
      </c>
      <c r="F490" s="304">
        <f>F461+F482+F488</f>
        <v>2029946.26</v>
      </c>
      <c r="G490" s="304">
        <f>G461+G482+G488</f>
        <v>2601370.46</v>
      </c>
    </row>
    <row r="491" spans="1:7" ht="15.75" x14ac:dyDescent="0.25">
      <c r="A491" s="252"/>
      <c r="B491" s="253"/>
      <c r="C491" s="253"/>
      <c r="D491" s="253"/>
      <c r="E491" s="253"/>
      <c r="F491" s="253"/>
      <c r="G491" s="253"/>
    </row>
    <row r="492" spans="1:7" ht="16.5" x14ac:dyDescent="0.25">
      <c r="A492" s="252" t="s">
        <v>798</v>
      </c>
      <c r="B492" s="253" t="s">
        <v>799</v>
      </c>
      <c r="C492" s="253"/>
      <c r="D492" s="253"/>
      <c r="E492" s="253" t="s">
        <v>651</v>
      </c>
      <c r="F492" s="314"/>
      <c r="G492" s="253"/>
    </row>
    <row r="493" spans="1:7" ht="16.5" x14ac:dyDescent="0.25">
      <c r="A493" s="252"/>
      <c r="B493" s="253"/>
      <c r="C493" s="253"/>
      <c r="D493" s="253"/>
      <c r="E493" s="253"/>
      <c r="F493" s="314"/>
      <c r="G493" s="253"/>
    </row>
    <row r="494" spans="1:7" ht="15.75" x14ac:dyDescent="0.25">
      <c r="A494" s="252"/>
      <c r="B494" s="253"/>
      <c r="C494" s="253"/>
      <c r="D494" s="253"/>
      <c r="E494" s="253"/>
      <c r="F494" s="253"/>
      <c r="G494" s="253"/>
    </row>
    <row r="495" spans="1:7" ht="15.75" x14ac:dyDescent="0.25">
      <c r="A495" s="296" t="s">
        <v>836</v>
      </c>
      <c r="B495" s="359" t="s">
        <v>800</v>
      </c>
      <c r="C495" s="359"/>
      <c r="D495" s="359"/>
      <c r="E495" s="359" t="s">
        <v>778</v>
      </c>
      <c r="F495" s="359"/>
      <c r="G495" s="359"/>
    </row>
    <row r="496" spans="1:7" ht="15.75" x14ac:dyDescent="0.25">
      <c r="A496" s="298" t="s">
        <v>837</v>
      </c>
      <c r="B496" s="360" t="s">
        <v>780</v>
      </c>
      <c r="C496" s="360"/>
      <c r="D496" s="360"/>
      <c r="E496" s="360" t="s">
        <v>802</v>
      </c>
      <c r="F496" s="360"/>
      <c r="G496" s="360"/>
    </row>
    <row r="497" spans="1:7" ht="16.5" x14ac:dyDescent="0.25">
      <c r="A497" s="326"/>
      <c r="B497" s="253"/>
      <c r="C497" s="253"/>
      <c r="D497" s="253"/>
      <c r="E497" s="253"/>
      <c r="F497" s="253"/>
      <c r="G497" s="253"/>
    </row>
    <row r="498" spans="1:7" ht="16.5" x14ac:dyDescent="0.25">
      <c r="A498" s="268"/>
      <c r="B498" s="249"/>
      <c r="C498" s="249"/>
      <c r="D498" s="249"/>
      <c r="E498" s="249"/>
      <c r="F498" s="249"/>
      <c r="G498" s="269" t="s">
        <v>838</v>
      </c>
    </row>
    <row r="499" spans="1:7" ht="16.5" x14ac:dyDescent="0.25">
      <c r="A499" s="268"/>
      <c r="B499" s="249"/>
      <c r="C499" s="249"/>
      <c r="D499" s="249"/>
      <c r="E499" s="249"/>
      <c r="F499" s="249"/>
      <c r="G499" s="249"/>
    </row>
    <row r="500" spans="1:7" ht="16.5" x14ac:dyDescent="0.25">
      <c r="A500" s="268"/>
      <c r="B500" s="249"/>
      <c r="C500" s="249"/>
      <c r="D500" s="249"/>
      <c r="E500" s="249"/>
      <c r="F500" s="249"/>
      <c r="G500" s="249"/>
    </row>
    <row r="501" spans="1:7" ht="16.5" x14ac:dyDescent="0.25">
      <c r="A501" s="268"/>
      <c r="B501" s="249"/>
      <c r="C501" s="249"/>
      <c r="D501" s="249"/>
      <c r="E501" s="249"/>
      <c r="F501" s="249"/>
      <c r="G501" s="249"/>
    </row>
    <row r="502" spans="1:7" ht="16.5" x14ac:dyDescent="0.25">
      <c r="A502" s="248" t="s">
        <v>674</v>
      </c>
      <c r="B502" s="249"/>
      <c r="C502" s="249"/>
      <c r="D502" s="249"/>
      <c r="E502" s="249"/>
      <c r="F502" s="249" t="s">
        <v>655</v>
      </c>
      <c r="G502" s="250" t="s">
        <v>675</v>
      </c>
    </row>
    <row r="503" spans="1:7" ht="18" x14ac:dyDescent="0.25">
      <c r="A503" s="324" t="s">
        <v>827</v>
      </c>
      <c r="B503" s="324"/>
      <c r="C503" s="324"/>
      <c r="D503" s="324"/>
      <c r="E503" s="324"/>
      <c r="F503" s="324"/>
      <c r="G503" s="324"/>
    </row>
    <row r="504" spans="1:7" ht="16.5" x14ac:dyDescent="0.25">
      <c r="A504" s="361"/>
      <c r="B504" s="361"/>
      <c r="C504" s="361"/>
      <c r="D504" s="361"/>
      <c r="E504" s="361"/>
      <c r="F504" s="361"/>
      <c r="G504" s="361"/>
    </row>
    <row r="505" spans="1:7" ht="15.75" x14ac:dyDescent="0.25">
      <c r="A505" s="252" t="s">
        <v>839</v>
      </c>
      <c r="B505" s="253"/>
      <c r="C505" s="253"/>
      <c r="D505" s="253"/>
      <c r="E505" s="253"/>
      <c r="F505" s="253"/>
      <c r="G505" s="253"/>
    </row>
    <row r="506" spans="1:7" ht="15.75" x14ac:dyDescent="0.25">
      <c r="A506" s="252" t="s">
        <v>655</v>
      </c>
      <c r="B506" s="253"/>
      <c r="C506" s="253"/>
      <c r="D506" s="253"/>
      <c r="E506" s="253"/>
      <c r="F506" s="253"/>
      <c r="G506" s="281"/>
    </row>
    <row r="507" spans="1:7" ht="15.75" x14ac:dyDescent="0.25">
      <c r="A507" s="351" t="s">
        <v>678</v>
      </c>
      <c r="B507" s="254" t="s">
        <v>679</v>
      </c>
      <c r="C507" s="254" t="s">
        <v>680</v>
      </c>
      <c r="D507" s="353" t="s">
        <v>681</v>
      </c>
      <c r="E507" s="354"/>
      <c r="F507" s="355"/>
      <c r="G507" s="254" t="s">
        <v>682</v>
      </c>
    </row>
    <row r="508" spans="1:7" ht="15.75" x14ac:dyDescent="0.25">
      <c r="A508" s="352"/>
      <c r="B508" s="255" t="s">
        <v>683</v>
      </c>
      <c r="C508" s="255" t="s">
        <v>684</v>
      </c>
      <c r="D508" s="255" t="s">
        <v>92</v>
      </c>
      <c r="E508" s="255" t="s">
        <v>93</v>
      </c>
      <c r="F508" s="356" t="s">
        <v>25</v>
      </c>
      <c r="G508" s="255" t="s">
        <v>454</v>
      </c>
    </row>
    <row r="509" spans="1:7" ht="15.75" x14ac:dyDescent="0.25">
      <c r="A509" s="352"/>
      <c r="B509" s="255"/>
      <c r="C509" s="255"/>
      <c r="D509" s="256" t="s">
        <v>684</v>
      </c>
      <c r="E509" s="256" t="s">
        <v>685</v>
      </c>
      <c r="F509" s="357"/>
      <c r="G509" s="255"/>
    </row>
    <row r="510" spans="1:7" ht="15.75" x14ac:dyDescent="0.25">
      <c r="A510" s="257" t="s">
        <v>686</v>
      </c>
      <c r="B510" s="258" t="s">
        <v>687</v>
      </c>
      <c r="C510" s="258" t="s">
        <v>688</v>
      </c>
      <c r="D510" s="259" t="s">
        <v>689</v>
      </c>
      <c r="E510" s="258" t="s">
        <v>690</v>
      </c>
      <c r="F510" s="258" t="s">
        <v>691</v>
      </c>
      <c r="G510" s="258" t="s">
        <v>692</v>
      </c>
    </row>
    <row r="511" spans="1:7" ht="15.75" x14ac:dyDescent="0.25">
      <c r="A511" s="260" t="s">
        <v>693</v>
      </c>
      <c r="B511" s="261"/>
      <c r="C511" s="261"/>
      <c r="D511" s="261"/>
      <c r="E511" s="261"/>
      <c r="F511" s="261"/>
      <c r="G511" s="261"/>
    </row>
    <row r="512" spans="1:7" ht="15.75" x14ac:dyDescent="0.25">
      <c r="A512" s="302" t="s">
        <v>784</v>
      </c>
      <c r="B512" s="263"/>
      <c r="C512" s="263"/>
      <c r="D512" s="263"/>
      <c r="E512" s="263"/>
      <c r="F512" s="263"/>
      <c r="G512" s="263"/>
    </row>
    <row r="513" spans="1:7" ht="15.75" x14ac:dyDescent="0.25">
      <c r="A513" s="262" t="s">
        <v>695</v>
      </c>
      <c r="B513" s="264" t="s">
        <v>505</v>
      </c>
      <c r="C513" s="48">
        <v>752991.5</v>
      </c>
      <c r="D513" s="48">
        <v>415896</v>
      </c>
      <c r="E513" s="48">
        <v>415896</v>
      </c>
      <c r="F513" s="48">
        <f>E513+D513</f>
        <v>831792</v>
      </c>
      <c r="G513" s="48">
        <v>920484</v>
      </c>
    </row>
    <row r="514" spans="1:7" ht="15.75" x14ac:dyDescent="0.25">
      <c r="A514" s="262" t="s">
        <v>696</v>
      </c>
      <c r="B514" s="264" t="s">
        <v>521</v>
      </c>
      <c r="C514" s="48">
        <v>90358.98</v>
      </c>
      <c r="D514" s="48">
        <v>49907.519999999997</v>
      </c>
      <c r="E514" s="48">
        <v>49907.519999999997</v>
      </c>
      <c r="F514" s="48">
        <f t="shared" ref="F514:F530" si="10">E514+D514</f>
        <v>99815.039999999994</v>
      </c>
      <c r="G514" s="48">
        <v>110458.08</v>
      </c>
    </row>
    <row r="515" spans="1:7" ht="15.75" x14ac:dyDescent="0.25">
      <c r="A515" s="262" t="s">
        <v>697</v>
      </c>
      <c r="B515" s="264" t="s">
        <v>527</v>
      </c>
      <c r="C515" s="48">
        <v>18841.41</v>
      </c>
      <c r="D515" s="48">
        <v>53333.4</v>
      </c>
      <c r="E515" s="48">
        <v>4096.8599999999997</v>
      </c>
      <c r="F515" s="48">
        <f t="shared" si="10"/>
        <v>57430.26</v>
      </c>
      <c r="G515" s="48">
        <v>110901.52</v>
      </c>
    </row>
    <row r="516" spans="1:7" ht="15.75" x14ac:dyDescent="0.25">
      <c r="A516" s="262" t="s">
        <v>698</v>
      </c>
      <c r="B516" s="264" t="s">
        <v>508</v>
      </c>
      <c r="C516" s="48">
        <v>72000</v>
      </c>
      <c r="D516" s="48">
        <v>36000</v>
      </c>
      <c r="E516" s="48">
        <v>36000</v>
      </c>
      <c r="F516" s="48">
        <f t="shared" si="10"/>
        <v>72000</v>
      </c>
      <c r="G516" s="48">
        <v>72000</v>
      </c>
    </row>
    <row r="517" spans="1:7" ht="15.75" x14ac:dyDescent="0.25">
      <c r="A517" s="262" t="s">
        <v>699</v>
      </c>
      <c r="B517" s="264" t="s">
        <v>664</v>
      </c>
      <c r="C517" s="48">
        <v>15000</v>
      </c>
      <c r="D517" s="48">
        <v>0</v>
      </c>
      <c r="E517" s="48">
        <v>0</v>
      </c>
      <c r="F517" s="48">
        <f t="shared" si="10"/>
        <v>0</v>
      </c>
      <c r="G517" s="48">
        <v>0</v>
      </c>
    </row>
    <row r="518" spans="1:7" ht="15.75" x14ac:dyDescent="0.25">
      <c r="A518" s="262" t="s">
        <v>700</v>
      </c>
      <c r="B518" s="264" t="s">
        <v>522</v>
      </c>
      <c r="C518" s="48">
        <v>15059.83</v>
      </c>
      <c r="D518" s="48">
        <v>8317.92</v>
      </c>
      <c r="E518" s="48">
        <v>8317.92</v>
      </c>
      <c r="F518" s="48">
        <f t="shared" si="10"/>
        <v>16635.84</v>
      </c>
      <c r="G518" s="48">
        <v>18409.68</v>
      </c>
    </row>
    <row r="519" spans="1:7" ht="15.75" x14ac:dyDescent="0.25">
      <c r="A519" s="262" t="s">
        <v>701</v>
      </c>
      <c r="B519" s="264" t="s">
        <v>523</v>
      </c>
      <c r="C519" s="48">
        <v>8550</v>
      </c>
      <c r="D519" s="48">
        <v>4275</v>
      </c>
      <c r="E519" s="48">
        <v>4575</v>
      </c>
      <c r="F519" s="48">
        <f t="shared" si="10"/>
        <v>8850</v>
      </c>
      <c r="G519" s="48">
        <v>8850</v>
      </c>
    </row>
    <row r="520" spans="1:7" ht="15.75" x14ac:dyDescent="0.25">
      <c r="A520" s="262" t="s">
        <v>702</v>
      </c>
      <c r="B520" s="264" t="s">
        <v>524</v>
      </c>
      <c r="C520" s="48">
        <v>3600</v>
      </c>
      <c r="D520" s="48">
        <v>1800</v>
      </c>
      <c r="E520" s="48">
        <v>6503.12</v>
      </c>
      <c r="F520" s="48">
        <f t="shared" si="10"/>
        <v>8303.119999999999</v>
      </c>
      <c r="G520" s="48">
        <v>9204.84</v>
      </c>
    </row>
    <row r="521" spans="1:7" ht="15.75" x14ac:dyDescent="0.25">
      <c r="A521" s="262" t="s">
        <v>785</v>
      </c>
      <c r="B521" s="264" t="s">
        <v>704</v>
      </c>
      <c r="C521" s="48"/>
      <c r="D521" s="48">
        <v>69316</v>
      </c>
      <c r="E521" s="48">
        <v>-1</v>
      </c>
      <c r="F521" s="48">
        <f t="shared" si="10"/>
        <v>69315</v>
      </c>
      <c r="G521" s="48">
        <v>76707</v>
      </c>
    </row>
    <row r="522" spans="1:7" ht="15.75" x14ac:dyDescent="0.25">
      <c r="A522" s="262" t="s">
        <v>705</v>
      </c>
      <c r="B522" s="264" t="s">
        <v>704</v>
      </c>
      <c r="C522" s="48">
        <v>62806</v>
      </c>
      <c r="D522" s="48">
        <v>0</v>
      </c>
      <c r="E522" s="48">
        <v>69316</v>
      </c>
      <c r="F522" s="48">
        <f t="shared" si="10"/>
        <v>69316</v>
      </c>
      <c r="G522" s="48">
        <v>76707</v>
      </c>
    </row>
    <row r="523" spans="1:7" ht="15.75" x14ac:dyDescent="0.25">
      <c r="A523" s="262" t="s">
        <v>706</v>
      </c>
      <c r="B523" s="264" t="s">
        <v>707</v>
      </c>
      <c r="C523" s="48">
        <v>15000</v>
      </c>
      <c r="D523" s="48">
        <v>7500</v>
      </c>
      <c r="E523" s="48">
        <v>7500</v>
      </c>
      <c r="F523" s="48">
        <f t="shared" si="10"/>
        <v>15000</v>
      </c>
      <c r="G523" s="48">
        <v>15000</v>
      </c>
    </row>
    <row r="524" spans="1:7" ht="15.75" x14ac:dyDescent="0.25">
      <c r="A524" s="262" t="s">
        <v>786</v>
      </c>
      <c r="B524" s="264" t="s">
        <v>709</v>
      </c>
      <c r="C524" s="48">
        <v>67500</v>
      </c>
      <c r="D524" s="48">
        <v>33750</v>
      </c>
      <c r="E524" s="48">
        <v>33750</v>
      </c>
      <c r="F524" s="48">
        <f t="shared" si="10"/>
        <v>67500</v>
      </c>
      <c r="G524" s="48">
        <v>67500</v>
      </c>
    </row>
    <row r="525" spans="1:7" ht="15.75" x14ac:dyDescent="0.25">
      <c r="A525" s="262" t="s">
        <v>787</v>
      </c>
      <c r="B525" s="264" t="s">
        <v>510</v>
      </c>
      <c r="C525" s="48">
        <v>67500</v>
      </c>
      <c r="D525" s="48">
        <v>33750</v>
      </c>
      <c r="E525" s="48">
        <v>33750</v>
      </c>
      <c r="F525" s="48">
        <f t="shared" si="10"/>
        <v>67500</v>
      </c>
      <c r="G525" s="48">
        <v>67500</v>
      </c>
    </row>
    <row r="526" spans="1:7" ht="15.75" x14ac:dyDescent="0.25">
      <c r="A526" s="262" t="s">
        <v>788</v>
      </c>
      <c r="B526" s="264" t="s">
        <v>712</v>
      </c>
      <c r="C526" s="48">
        <v>15000</v>
      </c>
      <c r="D526" s="48">
        <v>15000</v>
      </c>
      <c r="E526" s="48">
        <v>0</v>
      </c>
      <c r="F526" s="48">
        <f t="shared" si="10"/>
        <v>15000</v>
      </c>
      <c r="G526" s="48">
        <v>15000</v>
      </c>
    </row>
    <row r="527" spans="1:7" ht="15.75" x14ac:dyDescent="0.25">
      <c r="A527" s="262" t="s">
        <v>713</v>
      </c>
      <c r="B527" s="264" t="s">
        <v>789</v>
      </c>
      <c r="C527" s="48">
        <v>0</v>
      </c>
      <c r="D527" s="48">
        <v>10000</v>
      </c>
      <c r="E527" s="48">
        <v>0</v>
      </c>
      <c r="F527" s="48">
        <f t="shared" si="10"/>
        <v>10000</v>
      </c>
      <c r="G527" s="48">
        <v>5000</v>
      </c>
    </row>
    <row r="528" spans="1:7" ht="15.75" x14ac:dyDescent="0.25">
      <c r="A528" s="262" t="s">
        <v>717</v>
      </c>
      <c r="B528" s="264" t="s">
        <v>527</v>
      </c>
      <c r="C528" s="274">
        <v>14532</v>
      </c>
      <c r="D528" s="274">
        <v>0</v>
      </c>
      <c r="E528" s="274">
        <v>15000</v>
      </c>
      <c r="F528" s="48">
        <f t="shared" si="10"/>
        <v>15000</v>
      </c>
      <c r="G528" s="48">
        <v>0</v>
      </c>
    </row>
    <row r="529" spans="1:7" ht="15.75" x14ac:dyDescent="0.25">
      <c r="A529" s="262" t="s">
        <v>829</v>
      </c>
      <c r="B529" s="264" t="s">
        <v>527</v>
      </c>
      <c r="C529" s="274"/>
      <c r="D529" s="274">
        <v>6000</v>
      </c>
      <c r="E529" s="274">
        <v>0</v>
      </c>
      <c r="F529" s="48">
        <f t="shared" si="10"/>
        <v>6000</v>
      </c>
      <c r="G529" s="48"/>
    </row>
    <row r="530" spans="1:7" ht="15.75" x14ac:dyDescent="0.25">
      <c r="A530" s="262" t="s">
        <v>721</v>
      </c>
      <c r="B530" s="264" t="s">
        <v>527</v>
      </c>
      <c r="C530" s="274">
        <v>62806</v>
      </c>
      <c r="D530" s="274">
        <v>0</v>
      </c>
      <c r="E530" s="274">
        <v>15000</v>
      </c>
      <c r="F530" s="48">
        <f t="shared" si="10"/>
        <v>15000</v>
      </c>
      <c r="G530" s="48">
        <v>15000</v>
      </c>
    </row>
    <row r="531" spans="1:7" ht="15.75" x14ac:dyDescent="0.25">
      <c r="A531" s="265" t="s">
        <v>722</v>
      </c>
      <c r="B531" s="327" t="s">
        <v>655</v>
      </c>
      <c r="C531" s="304">
        <f>SUM(C511:C530)</f>
        <v>1281545.72</v>
      </c>
      <c r="D531" s="304">
        <f>SUM(D511:D530)</f>
        <v>744845.84000000008</v>
      </c>
      <c r="E531" s="304">
        <f>SUM(E511:E530)</f>
        <v>699611.42</v>
      </c>
      <c r="F531" s="304">
        <f>SUM(F511:F530)</f>
        <v>1444457.2600000002</v>
      </c>
      <c r="G531" s="304">
        <f>SUM(G513:G530)</f>
        <v>1588722.1199999999</v>
      </c>
    </row>
    <row r="532" spans="1:7" ht="15.75" x14ac:dyDescent="0.25">
      <c r="A532" s="305"/>
      <c r="B532" s="328"/>
      <c r="C532" s="307"/>
      <c r="D532" s="307"/>
      <c r="E532" s="307"/>
      <c r="F532" s="307"/>
      <c r="G532" s="307"/>
    </row>
    <row r="533" spans="1:7" ht="16.5" x14ac:dyDescent="0.25">
      <c r="A533" s="268"/>
      <c r="B533" s="249"/>
      <c r="C533" s="249"/>
      <c r="D533" s="249"/>
      <c r="E533" s="249"/>
      <c r="F533" s="249"/>
      <c r="G533" s="269" t="s">
        <v>840</v>
      </c>
    </row>
    <row r="534" spans="1:7" ht="16.5" x14ac:dyDescent="0.25">
      <c r="A534" s="268"/>
      <c r="B534" s="249"/>
      <c r="C534" s="249"/>
      <c r="D534" s="249"/>
      <c r="E534" s="249"/>
      <c r="F534" s="249"/>
      <c r="G534" s="269"/>
    </row>
    <row r="535" spans="1:7" ht="16.5" x14ac:dyDescent="0.25">
      <c r="A535" s="268"/>
      <c r="B535" s="249"/>
      <c r="C535" s="249"/>
      <c r="D535" s="249"/>
      <c r="E535" s="249"/>
      <c r="F535" s="249"/>
      <c r="G535" s="269"/>
    </row>
    <row r="536" spans="1:7" ht="16.5" x14ac:dyDescent="0.25">
      <c r="A536" s="268"/>
      <c r="B536" s="249"/>
      <c r="C536" s="249"/>
      <c r="D536" s="249"/>
      <c r="E536" s="249"/>
      <c r="F536" s="249"/>
      <c r="G536" s="269"/>
    </row>
    <row r="537" spans="1:7" ht="16.5" x14ac:dyDescent="0.25">
      <c r="A537" s="268"/>
      <c r="B537" s="249"/>
      <c r="C537" s="249"/>
      <c r="D537" s="249"/>
      <c r="E537" s="249"/>
      <c r="F537" s="249"/>
      <c r="G537" s="269"/>
    </row>
    <row r="538" spans="1:7" ht="16.5" x14ac:dyDescent="0.25">
      <c r="A538" s="248" t="s">
        <v>674</v>
      </c>
      <c r="B538" s="249"/>
      <c r="C538" s="249"/>
      <c r="D538" s="249"/>
      <c r="E538" s="249"/>
      <c r="F538" s="249" t="s">
        <v>655</v>
      </c>
      <c r="G538" s="250" t="s">
        <v>675</v>
      </c>
    </row>
    <row r="539" spans="1:7" ht="18" x14ac:dyDescent="0.25">
      <c r="A539" s="350" t="s">
        <v>676</v>
      </c>
      <c r="B539" s="350"/>
      <c r="C539" s="350"/>
      <c r="D539" s="350"/>
      <c r="E539" s="350"/>
      <c r="F539" s="350"/>
      <c r="G539" s="350"/>
    </row>
    <row r="540" spans="1:7" ht="16.5" x14ac:dyDescent="0.25">
      <c r="A540" s="361"/>
      <c r="B540" s="361"/>
      <c r="C540" s="361"/>
      <c r="D540" s="361"/>
      <c r="E540" s="361"/>
      <c r="F540" s="361"/>
      <c r="G540" s="361"/>
    </row>
    <row r="541" spans="1:7" ht="15.75" x14ac:dyDescent="0.25">
      <c r="A541" s="252" t="s">
        <v>839</v>
      </c>
      <c r="B541" s="253"/>
      <c r="C541" s="253"/>
      <c r="D541" s="253"/>
      <c r="E541" s="253"/>
      <c r="F541" s="253"/>
      <c r="G541" s="253"/>
    </row>
    <row r="542" spans="1:7" ht="15.75" x14ac:dyDescent="0.25">
      <c r="A542" s="252" t="s">
        <v>655</v>
      </c>
      <c r="B542" s="253"/>
      <c r="C542" s="253"/>
      <c r="D542" s="253"/>
      <c r="E542" s="253"/>
      <c r="F542" s="253"/>
      <c r="G542" s="281"/>
    </row>
    <row r="543" spans="1:7" ht="15.75" x14ac:dyDescent="0.25">
      <c r="A543" s="351" t="s">
        <v>678</v>
      </c>
      <c r="B543" s="254" t="s">
        <v>679</v>
      </c>
      <c r="C543" s="254" t="s">
        <v>680</v>
      </c>
      <c r="D543" s="353" t="s">
        <v>681</v>
      </c>
      <c r="E543" s="354"/>
      <c r="F543" s="355"/>
      <c r="G543" s="254" t="s">
        <v>682</v>
      </c>
    </row>
    <row r="544" spans="1:7" ht="15.75" x14ac:dyDescent="0.25">
      <c r="A544" s="352"/>
      <c r="B544" s="255" t="s">
        <v>683</v>
      </c>
      <c r="C544" s="255" t="s">
        <v>684</v>
      </c>
      <c r="D544" s="255" t="s">
        <v>92</v>
      </c>
      <c r="E544" s="255" t="s">
        <v>93</v>
      </c>
      <c r="F544" s="356" t="s">
        <v>25</v>
      </c>
      <c r="G544" s="255" t="s">
        <v>454</v>
      </c>
    </row>
    <row r="545" spans="1:7" ht="15.75" x14ac:dyDescent="0.25">
      <c r="A545" s="352"/>
      <c r="B545" s="255"/>
      <c r="C545" s="255"/>
      <c r="D545" s="256" t="s">
        <v>684</v>
      </c>
      <c r="E545" s="256" t="s">
        <v>685</v>
      </c>
      <c r="F545" s="357"/>
      <c r="G545" s="255"/>
    </row>
    <row r="546" spans="1:7" ht="15.75" x14ac:dyDescent="0.25">
      <c r="A546" s="257" t="s">
        <v>686</v>
      </c>
      <c r="B546" s="258" t="s">
        <v>687</v>
      </c>
      <c r="C546" s="258" t="s">
        <v>688</v>
      </c>
      <c r="D546" s="259" t="s">
        <v>689</v>
      </c>
      <c r="E546" s="258" t="s">
        <v>690</v>
      </c>
      <c r="F546" s="258" t="s">
        <v>691</v>
      </c>
      <c r="G546" s="258" t="s">
        <v>692</v>
      </c>
    </row>
    <row r="547" spans="1:7" ht="31.5" x14ac:dyDescent="0.25">
      <c r="A547" s="323" t="s">
        <v>793</v>
      </c>
      <c r="B547" s="261"/>
      <c r="C547" s="261"/>
      <c r="D547" s="263"/>
      <c r="E547" s="263"/>
      <c r="F547" s="263"/>
      <c r="G547" s="263"/>
    </row>
    <row r="548" spans="1:7" ht="15.75" x14ac:dyDescent="0.25">
      <c r="A548" s="262" t="s">
        <v>724</v>
      </c>
      <c r="B548" s="264" t="s">
        <v>505</v>
      </c>
      <c r="C548" s="48">
        <v>61632</v>
      </c>
      <c r="D548" s="48">
        <v>25920</v>
      </c>
      <c r="E548" s="48">
        <v>16280</v>
      </c>
      <c r="F548" s="48">
        <f>E548+D548</f>
        <v>42200</v>
      </c>
      <c r="G548" s="48">
        <v>42200</v>
      </c>
    </row>
    <row r="549" spans="1:7" ht="15.75" x14ac:dyDescent="0.25">
      <c r="A549" s="262" t="s">
        <v>725</v>
      </c>
      <c r="B549" s="264" t="s">
        <v>532</v>
      </c>
      <c r="C549" s="48">
        <v>55427.7</v>
      </c>
      <c r="D549" s="48">
        <v>49860.5</v>
      </c>
      <c r="E549" s="48">
        <v>7339.5</v>
      </c>
      <c r="F549" s="48">
        <f>E549+D549</f>
        <v>57200</v>
      </c>
      <c r="G549" s="48">
        <v>57200</v>
      </c>
    </row>
    <row r="550" spans="1:7" ht="15.75" x14ac:dyDescent="0.25">
      <c r="A550" s="262" t="s">
        <v>729</v>
      </c>
      <c r="B550" s="264" t="s">
        <v>568</v>
      </c>
      <c r="C550" s="48">
        <v>20094</v>
      </c>
      <c r="D550" s="48">
        <v>10176</v>
      </c>
      <c r="E550" s="48">
        <v>10088</v>
      </c>
      <c r="F550" s="48">
        <f>E550+D550</f>
        <v>20264</v>
      </c>
      <c r="G550" s="48">
        <v>20264</v>
      </c>
    </row>
    <row r="551" spans="1:7" ht="15.75" x14ac:dyDescent="0.25">
      <c r="A551" s="262" t="s">
        <v>730</v>
      </c>
      <c r="B551" s="264" t="s">
        <v>529</v>
      </c>
      <c r="C551" s="48">
        <v>0</v>
      </c>
      <c r="D551" s="48">
        <v>0</v>
      </c>
      <c r="E551" s="48">
        <v>21866</v>
      </c>
      <c r="F551" s="48">
        <f>E551+D551</f>
        <v>21866</v>
      </c>
      <c r="G551" s="48">
        <v>21866</v>
      </c>
    </row>
    <row r="552" spans="1:7" ht="15.75" x14ac:dyDescent="0.25">
      <c r="A552" s="262" t="s">
        <v>795</v>
      </c>
      <c r="B552" s="264" t="s">
        <v>545</v>
      </c>
      <c r="C552" s="274">
        <v>0</v>
      </c>
      <c r="D552" s="274"/>
      <c r="E552" s="274">
        <v>3300</v>
      </c>
      <c r="F552" s="48">
        <f>E552+D552</f>
        <v>3300</v>
      </c>
      <c r="G552" s="274">
        <v>3300</v>
      </c>
    </row>
    <row r="553" spans="1:7" ht="15.75" x14ac:dyDescent="0.25">
      <c r="A553" s="294" t="s">
        <v>281</v>
      </c>
      <c r="B553" s="263"/>
      <c r="C553" s="312">
        <f>SUM(C548:C552)</f>
        <v>137153.70000000001</v>
      </c>
      <c r="D553" s="312">
        <f>SUM(D548:D552)</f>
        <v>85956.5</v>
      </c>
      <c r="E553" s="312">
        <f>SUM(E548:E552)</f>
        <v>58873.5</v>
      </c>
      <c r="F553" s="312">
        <f>SUM(F548:F552)</f>
        <v>144830</v>
      </c>
      <c r="G553" s="312">
        <f>SUM(G548:G552)</f>
        <v>144830</v>
      </c>
    </row>
    <row r="554" spans="1:7" ht="15.75" x14ac:dyDescent="0.25">
      <c r="A554" s="262"/>
      <c r="B554" s="263"/>
      <c r="C554" s="263" t="s">
        <v>655</v>
      </c>
      <c r="D554" s="263"/>
      <c r="E554" s="263"/>
      <c r="F554" s="48"/>
      <c r="G554" s="48"/>
    </row>
    <row r="555" spans="1:7" ht="15.75" x14ac:dyDescent="0.25">
      <c r="A555" s="302" t="s">
        <v>796</v>
      </c>
      <c r="B555" s="263"/>
      <c r="C555" s="263"/>
      <c r="D555" s="263"/>
      <c r="E555" s="263"/>
      <c r="F555" s="48"/>
      <c r="G555" s="48"/>
    </row>
    <row r="556" spans="1:7" ht="15.75" x14ac:dyDescent="0.25">
      <c r="A556" s="262" t="s">
        <v>822</v>
      </c>
      <c r="B556" s="263"/>
      <c r="C556" s="48">
        <v>0</v>
      </c>
      <c r="D556" s="48"/>
      <c r="E556" s="48"/>
      <c r="F556" s="48">
        <v>0</v>
      </c>
      <c r="G556" s="48">
        <v>0</v>
      </c>
    </row>
    <row r="557" spans="1:7" ht="15.75" x14ac:dyDescent="0.25">
      <c r="A557" s="262"/>
      <c r="B557" s="263"/>
      <c r="C557" s="48"/>
      <c r="D557" s="48"/>
      <c r="E557" s="48"/>
      <c r="F557" s="48"/>
      <c r="G557" s="48"/>
    </row>
    <row r="558" spans="1:7" ht="15.75" x14ac:dyDescent="0.25">
      <c r="A558" s="262"/>
      <c r="B558" s="263"/>
      <c r="C558" s="48"/>
      <c r="D558" s="48"/>
      <c r="E558" s="48"/>
      <c r="F558" s="48"/>
      <c r="G558" s="48"/>
    </row>
    <row r="559" spans="1:7" ht="15.75" x14ac:dyDescent="0.25">
      <c r="A559" s="294" t="s">
        <v>282</v>
      </c>
      <c r="B559" s="263"/>
      <c r="C559" s="312">
        <f>SUM(C556)</f>
        <v>0</v>
      </c>
      <c r="D559" s="312"/>
      <c r="E559" s="312"/>
      <c r="F559" s="312">
        <f>SUM(F556)</f>
        <v>0</v>
      </c>
      <c r="G559" s="312">
        <f>SUM(G556)</f>
        <v>0</v>
      </c>
    </row>
    <row r="560" spans="1:7" ht="15.75" x14ac:dyDescent="0.25">
      <c r="A560" s="262"/>
      <c r="B560" s="263"/>
      <c r="C560" s="292"/>
      <c r="D560" s="292"/>
      <c r="E560" s="292"/>
      <c r="F560" s="48"/>
      <c r="G560" s="48"/>
    </row>
    <row r="561" spans="1:7" ht="15.75" x14ac:dyDescent="0.25">
      <c r="A561" s="265" t="s">
        <v>279</v>
      </c>
      <c r="B561" s="313"/>
      <c r="C561" s="304">
        <f>C531+C553+C559</f>
        <v>1418699.42</v>
      </c>
      <c r="D561" s="304">
        <f>D531+D553+D559</f>
        <v>830802.34000000008</v>
      </c>
      <c r="E561" s="304">
        <f>E531+E553+E559</f>
        <v>758484.92</v>
      </c>
      <c r="F561" s="304">
        <f>F531+F553+F559</f>
        <v>1589287.2600000002</v>
      </c>
      <c r="G561" s="304">
        <f>G531+G553+G559</f>
        <v>1733552.1199999999</v>
      </c>
    </row>
    <row r="562" spans="1:7" ht="15.75" x14ac:dyDescent="0.25">
      <c r="A562" s="252"/>
      <c r="B562" s="253"/>
      <c r="C562" s="253"/>
      <c r="D562" s="253"/>
      <c r="E562" s="253"/>
      <c r="F562" s="253"/>
      <c r="G562" s="253"/>
    </row>
    <row r="563" spans="1:7" ht="16.5" x14ac:dyDescent="0.25">
      <c r="A563" s="252" t="s">
        <v>798</v>
      </c>
      <c r="B563" s="253" t="s">
        <v>799</v>
      </c>
      <c r="C563" s="253"/>
      <c r="D563" s="253"/>
      <c r="E563" s="253" t="s">
        <v>651</v>
      </c>
      <c r="F563" s="314"/>
      <c r="G563" s="253"/>
    </row>
    <row r="564" spans="1:7" ht="16.5" x14ac:dyDescent="0.25">
      <c r="A564" s="252"/>
      <c r="B564" s="253"/>
      <c r="C564" s="253"/>
      <c r="D564" s="253"/>
      <c r="E564" s="253"/>
      <c r="F564" s="314"/>
      <c r="G564" s="253"/>
    </row>
    <row r="565" spans="1:7" ht="15.75" x14ac:dyDescent="0.25">
      <c r="A565" s="252"/>
      <c r="B565" s="253"/>
      <c r="C565" s="253"/>
      <c r="D565" s="253"/>
      <c r="E565" s="253"/>
      <c r="F565" s="253"/>
      <c r="G565" s="253"/>
    </row>
    <row r="566" spans="1:7" ht="15.75" x14ac:dyDescent="0.25">
      <c r="A566" s="296" t="s">
        <v>841</v>
      </c>
      <c r="B566" s="359" t="s">
        <v>800</v>
      </c>
      <c r="C566" s="359"/>
      <c r="D566" s="359"/>
      <c r="E566" s="359" t="s">
        <v>778</v>
      </c>
      <c r="F566" s="359"/>
      <c r="G566" s="359"/>
    </row>
    <row r="567" spans="1:7" ht="15.75" x14ac:dyDescent="0.25">
      <c r="A567" s="298" t="s">
        <v>842</v>
      </c>
      <c r="B567" s="360" t="s">
        <v>780</v>
      </c>
      <c r="C567" s="360"/>
      <c r="D567" s="360"/>
      <c r="E567" s="360" t="s">
        <v>802</v>
      </c>
      <c r="F567" s="360"/>
      <c r="G567" s="360"/>
    </row>
    <row r="568" spans="1:7" ht="15.75" x14ac:dyDescent="0.25">
      <c r="A568" s="252"/>
      <c r="B568" s="329"/>
      <c r="C568" s="253"/>
      <c r="D568" s="253"/>
      <c r="E568" s="253"/>
      <c r="F568" s="253"/>
      <c r="G568" s="253"/>
    </row>
    <row r="569" spans="1:7" ht="15.75" x14ac:dyDescent="0.25">
      <c r="A569" s="252"/>
      <c r="B569" s="329"/>
      <c r="C569" s="253"/>
      <c r="D569" s="253"/>
      <c r="E569" s="253"/>
      <c r="F569" s="253"/>
      <c r="G569" s="269" t="s">
        <v>843</v>
      </c>
    </row>
    <row r="570" spans="1:7" ht="15.75" x14ac:dyDescent="0.25">
      <c r="A570" s="252"/>
      <c r="B570" s="329"/>
      <c r="C570" s="253"/>
      <c r="D570" s="253"/>
      <c r="E570" s="253"/>
      <c r="F570" s="253"/>
      <c r="G570" s="253"/>
    </row>
    <row r="571" spans="1:7" ht="15.75" x14ac:dyDescent="0.25">
      <c r="A571" s="252"/>
      <c r="B571" s="253"/>
      <c r="C571" s="253"/>
      <c r="D571" s="253"/>
      <c r="E571" s="253"/>
      <c r="F571" s="253"/>
      <c r="G571" s="253"/>
    </row>
    <row r="572" spans="1:7" ht="15.75" x14ac:dyDescent="0.25">
      <c r="A572" s="252"/>
      <c r="B572" s="253"/>
      <c r="C572" s="253"/>
      <c r="D572" s="253"/>
      <c r="E572" s="253"/>
      <c r="F572" s="253"/>
      <c r="G572" s="253"/>
    </row>
    <row r="573" spans="1:7" ht="16.5" x14ac:dyDescent="0.25">
      <c r="A573" s="248" t="s">
        <v>674</v>
      </c>
      <c r="B573" s="249"/>
      <c r="C573" s="249"/>
      <c r="D573" s="249"/>
      <c r="E573" s="249"/>
      <c r="F573" s="249" t="s">
        <v>655</v>
      </c>
      <c r="G573" s="250" t="s">
        <v>675</v>
      </c>
    </row>
    <row r="574" spans="1:7" x14ac:dyDescent="0.25">
      <c r="A574" s="350" t="s">
        <v>676</v>
      </c>
      <c r="B574" s="350"/>
      <c r="C574" s="350"/>
      <c r="D574" s="350"/>
      <c r="E574" s="350"/>
      <c r="F574" s="350"/>
      <c r="G574" s="350"/>
    </row>
    <row r="575" spans="1:7" x14ac:dyDescent="0.25">
      <c r="A575" s="350"/>
      <c r="B575" s="350"/>
      <c r="C575" s="350"/>
      <c r="D575" s="350"/>
      <c r="E575" s="350"/>
      <c r="F575" s="350"/>
      <c r="G575" s="350"/>
    </row>
    <row r="576" spans="1:7" ht="16.5" x14ac:dyDescent="0.25">
      <c r="A576" s="330"/>
      <c r="B576" s="330"/>
      <c r="C576" s="330"/>
      <c r="D576" s="330"/>
      <c r="E576" s="330"/>
      <c r="F576" s="330"/>
      <c r="G576" s="330"/>
    </row>
    <row r="577" spans="1:7" ht="15.75" x14ac:dyDescent="0.25">
      <c r="A577" s="252" t="s">
        <v>844</v>
      </c>
      <c r="B577" s="253"/>
      <c r="C577" s="253"/>
      <c r="D577" s="253"/>
      <c r="E577" s="253"/>
      <c r="F577" s="253"/>
      <c r="G577" s="253"/>
    </row>
    <row r="578" spans="1:7" ht="15.75" x14ac:dyDescent="0.25">
      <c r="A578" s="252"/>
      <c r="B578" s="253"/>
      <c r="C578" s="253"/>
      <c r="D578" s="253"/>
      <c r="E578" s="253"/>
      <c r="F578" s="253"/>
      <c r="G578" s="281"/>
    </row>
    <row r="579" spans="1:7" ht="15.75" x14ac:dyDescent="0.25">
      <c r="A579" s="351" t="s">
        <v>678</v>
      </c>
      <c r="B579" s="254" t="s">
        <v>679</v>
      </c>
      <c r="C579" s="254" t="s">
        <v>680</v>
      </c>
      <c r="D579" s="353" t="s">
        <v>681</v>
      </c>
      <c r="E579" s="354"/>
      <c r="F579" s="355"/>
      <c r="G579" s="254" t="s">
        <v>682</v>
      </c>
    </row>
    <row r="580" spans="1:7" ht="15.75" x14ac:dyDescent="0.25">
      <c r="A580" s="352"/>
      <c r="B580" s="255" t="s">
        <v>683</v>
      </c>
      <c r="C580" s="255" t="s">
        <v>684</v>
      </c>
      <c r="D580" s="255" t="s">
        <v>92</v>
      </c>
      <c r="E580" s="255" t="s">
        <v>93</v>
      </c>
      <c r="F580" s="356" t="s">
        <v>25</v>
      </c>
      <c r="G580" s="255" t="s">
        <v>454</v>
      </c>
    </row>
    <row r="581" spans="1:7" ht="15.75" x14ac:dyDescent="0.25">
      <c r="A581" s="352"/>
      <c r="B581" s="255"/>
      <c r="C581" s="255"/>
      <c r="D581" s="256" t="s">
        <v>684</v>
      </c>
      <c r="E581" s="256" t="s">
        <v>685</v>
      </c>
      <c r="F581" s="357"/>
      <c r="G581" s="255"/>
    </row>
    <row r="582" spans="1:7" ht="15.75" x14ac:dyDescent="0.25">
      <c r="A582" s="257" t="s">
        <v>686</v>
      </c>
      <c r="B582" s="258" t="s">
        <v>687</v>
      </c>
      <c r="C582" s="258" t="s">
        <v>688</v>
      </c>
      <c r="D582" s="259" t="s">
        <v>689</v>
      </c>
      <c r="E582" s="258" t="s">
        <v>690</v>
      </c>
      <c r="F582" s="258" t="s">
        <v>691</v>
      </c>
      <c r="G582" s="258" t="s">
        <v>692</v>
      </c>
    </row>
    <row r="583" spans="1:7" ht="15.75" x14ac:dyDescent="0.25">
      <c r="A583" s="260" t="s">
        <v>693</v>
      </c>
      <c r="B583" s="331"/>
      <c r="C583" s="261"/>
      <c r="D583" s="284"/>
      <c r="E583" s="284"/>
      <c r="F583" s="284"/>
      <c r="G583" s="284"/>
    </row>
    <row r="584" spans="1:7" ht="15.75" x14ac:dyDescent="0.25">
      <c r="A584" s="302" t="s">
        <v>784</v>
      </c>
      <c r="B584" s="283"/>
      <c r="C584" s="263"/>
      <c r="D584" s="284"/>
      <c r="E584" s="284"/>
      <c r="F584" s="284"/>
      <c r="G584" s="284"/>
    </row>
    <row r="585" spans="1:7" ht="15.75" x14ac:dyDescent="0.25">
      <c r="A585" s="262" t="s">
        <v>695</v>
      </c>
      <c r="B585" s="264" t="s">
        <v>505</v>
      </c>
      <c r="C585" s="274">
        <v>570132</v>
      </c>
      <c r="D585" s="274">
        <v>321834</v>
      </c>
      <c r="E585" s="274">
        <v>321834</v>
      </c>
      <c r="F585" s="274">
        <f>E585+D585</f>
        <v>643668</v>
      </c>
      <c r="G585" s="274">
        <v>722556</v>
      </c>
    </row>
    <row r="586" spans="1:7" ht="15.75" x14ac:dyDescent="0.25">
      <c r="A586" s="262" t="s">
        <v>696</v>
      </c>
      <c r="B586" s="264" t="s">
        <v>521</v>
      </c>
      <c r="C586" s="274">
        <v>68415.839999999997</v>
      </c>
      <c r="D586" s="274">
        <v>38620.080000000002</v>
      </c>
      <c r="E586" s="274">
        <v>38620.080000000002</v>
      </c>
      <c r="F586" s="274">
        <f t="shared" ref="F586:F602" si="11">E586+D586</f>
        <v>77240.160000000003</v>
      </c>
      <c r="G586" s="274">
        <v>86706.72</v>
      </c>
    </row>
    <row r="587" spans="1:7" ht="15.75" x14ac:dyDescent="0.25">
      <c r="A587" s="262" t="s">
        <v>697</v>
      </c>
      <c r="B587" s="264" t="s">
        <v>527</v>
      </c>
      <c r="C587" s="274">
        <v>0</v>
      </c>
      <c r="D587" s="274">
        <v>46096.56</v>
      </c>
      <c r="E587" s="274">
        <v>11333.7</v>
      </c>
      <c r="F587" s="274">
        <f t="shared" si="11"/>
        <v>57430.259999999995</v>
      </c>
      <c r="G587" s="274">
        <v>87054.81</v>
      </c>
    </row>
    <row r="588" spans="1:7" ht="15.75" x14ac:dyDescent="0.25">
      <c r="A588" s="262" t="s">
        <v>698</v>
      </c>
      <c r="B588" s="264" t="s">
        <v>508</v>
      </c>
      <c r="C588" s="274">
        <v>48000</v>
      </c>
      <c r="D588" s="274">
        <v>24000</v>
      </c>
      <c r="E588" s="274">
        <v>24000</v>
      </c>
      <c r="F588" s="274">
        <f t="shared" si="11"/>
        <v>48000</v>
      </c>
      <c r="G588" s="274">
        <v>48000</v>
      </c>
    </row>
    <row r="589" spans="1:7" ht="15.75" x14ac:dyDescent="0.25">
      <c r="A589" s="262" t="s">
        <v>699</v>
      </c>
      <c r="B589" s="264" t="s">
        <v>664</v>
      </c>
      <c r="C589" s="274">
        <v>10000</v>
      </c>
      <c r="D589" s="274"/>
      <c r="E589" s="274"/>
      <c r="F589" s="274">
        <f t="shared" si="11"/>
        <v>0</v>
      </c>
      <c r="G589" s="274">
        <v>0</v>
      </c>
    </row>
    <row r="590" spans="1:7" ht="15.75" x14ac:dyDescent="0.25">
      <c r="A590" s="262" t="s">
        <v>700</v>
      </c>
      <c r="B590" s="264" t="s">
        <v>522</v>
      </c>
      <c r="C590" s="274">
        <v>11402.64</v>
      </c>
      <c r="D590" s="274">
        <v>6436.68</v>
      </c>
      <c r="E590" s="274">
        <v>6436.68</v>
      </c>
      <c r="F590" s="274">
        <f t="shared" si="11"/>
        <v>12873.36</v>
      </c>
      <c r="G590" s="274">
        <v>14451.12</v>
      </c>
    </row>
    <row r="591" spans="1:7" ht="15.75" x14ac:dyDescent="0.25">
      <c r="A591" s="262" t="s">
        <v>701</v>
      </c>
      <c r="B591" s="264" t="s">
        <v>523</v>
      </c>
      <c r="C591" s="274">
        <v>6600</v>
      </c>
      <c r="D591" s="274">
        <v>3375</v>
      </c>
      <c r="E591" s="274">
        <v>3375</v>
      </c>
      <c r="F591" s="274">
        <f t="shared" si="11"/>
        <v>6750</v>
      </c>
      <c r="G591" s="274">
        <v>6750</v>
      </c>
    </row>
    <row r="592" spans="1:7" ht="15.75" x14ac:dyDescent="0.25">
      <c r="A592" s="262" t="s">
        <v>702</v>
      </c>
      <c r="B592" s="264" t="s">
        <v>524</v>
      </c>
      <c r="C592" s="274">
        <v>2374.56</v>
      </c>
      <c r="D592" s="274">
        <v>1201.28</v>
      </c>
      <c r="E592" s="274">
        <v>5235.3999999999996</v>
      </c>
      <c r="F592" s="274">
        <f t="shared" si="11"/>
        <v>6436.6799999999994</v>
      </c>
      <c r="G592" s="274">
        <v>7225.56</v>
      </c>
    </row>
    <row r="593" spans="1:7" ht="15.75" x14ac:dyDescent="0.25">
      <c r="A593" s="262" t="s">
        <v>785</v>
      </c>
      <c r="B593" s="264" t="s">
        <v>704</v>
      </c>
      <c r="C593" s="274"/>
      <c r="D593" s="274">
        <v>53639</v>
      </c>
      <c r="E593" s="274">
        <v>0</v>
      </c>
      <c r="F593" s="274">
        <f t="shared" si="11"/>
        <v>53639</v>
      </c>
      <c r="G593" s="274">
        <v>60213</v>
      </c>
    </row>
    <row r="594" spans="1:7" ht="15.75" x14ac:dyDescent="0.25">
      <c r="A594" s="262" t="s">
        <v>705</v>
      </c>
      <c r="B594" s="264" t="s">
        <v>704</v>
      </c>
      <c r="C594" s="274">
        <v>47511</v>
      </c>
      <c r="D594" s="274">
        <v>0</v>
      </c>
      <c r="E594" s="274">
        <v>53639</v>
      </c>
      <c r="F594" s="274">
        <f t="shared" si="11"/>
        <v>53639</v>
      </c>
      <c r="G594" s="274">
        <v>60213</v>
      </c>
    </row>
    <row r="595" spans="1:7" ht="15.75" x14ac:dyDescent="0.25">
      <c r="A595" s="262" t="s">
        <v>706</v>
      </c>
      <c r="B595" s="264" t="s">
        <v>707</v>
      </c>
      <c r="C595" s="274">
        <v>10000</v>
      </c>
      <c r="D595" s="274">
        <v>5000</v>
      </c>
      <c r="E595" s="274">
        <v>5000</v>
      </c>
      <c r="F595" s="274">
        <f t="shared" si="11"/>
        <v>10000</v>
      </c>
      <c r="G595" s="274">
        <v>10000</v>
      </c>
    </row>
    <row r="596" spans="1:7" ht="15.75" x14ac:dyDescent="0.25">
      <c r="A596" s="262" t="s">
        <v>786</v>
      </c>
      <c r="B596" s="264" t="s">
        <v>709</v>
      </c>
      <c r="C596" s="274">
        <v>67500</v>
      </c>
      <c r="D596" s="274">
        <v>33750</v>
      </c>
      <c r="E596" s="274">
        <v>33750</v>
      </c>
      <c r="F596" s="274">
        <f t="shared" si="11"/>
        <v>67500</v>
      </c>
      <c r="G596" s="274">
        <v>67500</v>
      </c>
    </row>
    <row r="597" spans="1:7" ht="15.75" x14ac:dyDescent="0.25">
      <c r="A597" s="262" t="s">
        <v>787</v>
      </c>
      <c r="B597" s="264" t="s">
        <v>510</v>
      </c>
      <c r="C597" s="274">
        <v>67500</v>
      </c>
      <c r="D597" s="274">
        <v>33750</v>
      </c>
      <c r="E597" s="274">
        <v>33750</v>
      </c>
      <c r="F597" s="274">
        <f t="shared" si="11"/>
        <v>67500</v>
      </c>
      <c r="G597" s="274">
        <v>67500</v>
      </c>
    </row>
    <row r="598" spans="1:7" ht="15.75" x14ac:dyDescent="0.25">
      <c r="A598" s="262" t="s">
        <v>788</v>
      </c>
      <c r="B598" s="264" t="s">
        <v>712</v>
      </c>
      <c r="C598" s="274">
        <v>10000</v>
      </c>
      <c r="D598" s="274">
        <v>10000</v>
      </c>
      <c r="E598" s="274">
        <v>0</v>
      </c>
      <c r="F598" s="274">
        <f t="shared" si="11"/>
        <v>10000</v>
      </c>
      <c r="G598" s="274">
        <v>10000</v>
      </c>
    </row>
    <row r="599" spans="1:7" ht="15.75" x14ac:dyDescent="0.25">
      <c r="A599" s="262" t="s">
        <v>713</v>
      </c>
      <c r="B599" s="264" t="s">
        <v>789</v>
      </c>
      <c r="C599" s="48">
        <v>0</v>
      </c>
      <c r="D599" s="274"/>
      <c r="E599" s="274"/>
      <c r="F599" s="274">
        <f t="shared" si="11"/>
        <v>0</v>
      </c>
      <c r="G599" s="274">
        <v>5000</v>
      </c>
    </row>
    <row r="600" spans="1:7" ht="15.75" x14ac:dyDescent="0.25">
      <c r="A600" s="262" t="s">
        <v>717</v>
      </c>
      <c r="B600" s="264" t="s">
        <v>527</v>
      </c>
      <c r="C600" s="263">
        <v>9189</v>
      </c>
      <c r="D600" s="284">
        <v>0</v>
      </c>
      <c r="E600" s="284">
        <v>10000</v>
      </c>
      <c r="F600" s="274">
        <f t="shared" si="11"/>
        <v>10000</v>
      </c>
      <c r="G600" s="274">
        <v>0</v>
      </c>
    </row>
    <row r="601" spans="1:7" ht="15.75" x14ac:dyDescent="0.25">
      <c r="A601" s="262" t="s">
        <v>829</v>
      </c>
      <c r="B601" s="264" t="s">
        <v>527</v>
      </c>
      <c r="C601" s="263">
        <v>0</v>
      </c>
      <c r="D601" s="284">
        <v>4000</v>
      </c>
      <c r="E601" s="284">
        <v>0</v>
      </c>
      <c r="F601" s="274">
        <f t="shared" si="11"/>
        <v>4000</v>
      </c>
      <c r="G601" s="274"/>
    </row>
    <row r="602" spans="1:7" ht="15.75" x14ac:dyDescent="0.25">
      <c r="A602" s="262" t="s">
        <v>721</v>
      </c>
      <c r="B602" s="264" t="s">
        <v>527</v>
      </c>
      <c r="C602" s="263">
        <v>47511</v>
      </c>
      <c r="D602" s="284">
        <v>0</v>
      </c>
      <c r="E602" s="284">
        <v>10000</v>
      </c>
      <c r="F602" s="274">
        <f t="shared" si="11"/>
        <v>10000</v>
      </c>
      <c r="G602" s="274">
        <v>10000</v>
      </c>
    </row>
    <row r="603" spans="1:7" ht="15.75" x14ac:dyDescent="0.25">
      <c r="A603" s="265" t="s">
        <v>722</v>
      </c>
      <c r="B603" s="276"/>
      <c r="C603" s="267">
        <f>SUM(C583:C602)</f>
        <v>976136.04</v>
      </c>
      <c r="D603" s="267">
        <f>SUM(D583:D602)</f>
        <v>581702.60000000009</v>
      </c>
      <c r="E603" s="267">
        <f>SUM(E583:E602)</f>
        <v>556973.8600000001</v>
      </c>
      <c r="F603" s="267">
        <f>SUM(F583:F602)</f>
        <v>1138676.46</v>
      </c>
      <c r="G603" s="267">
        <f>SUM(G585:G602)</f>
        <v>1263170.21</v>
      </c>
    </row>
    <row r="604" spans="1:7" ht="16.5" x14ac:dyDescent="0.25">
      <c r="A604" s="268"/>
      <c r="B604" s="249"/>
      <c r="C604" s="249"/>
      <c r="D604" s="249"/>
      <c r="E604" s="249"/>
      <c r="F604" s="249"/>
      <c r="G604" s="249"/>
    </row>
    <row r="605" spans="1:7" ht="16.5" x14ac:dyDescent="0.25">
      <c r="A605" s="268"/>
      <c r="B605" s="249"/>
      <c r="C605" s="249"/>
      <c r="D605" s="249"/>
      <c r="E605" s="249"/>
      <c r="F605" s="249"/>
      <c r="G605" s="269" t="s">
        <v>845</v>
      </c>
    </row>
    <row r="606" spans="1:7" ht="16.5" x14ac:dyDescent="0.25">
      <c r="A606" s="268"/>
      <c r="B606" s="249"/>
      <c r="C606" s="249"/>
      <c r="D606" s="249"/>
      <c r="E606" s="249"/>
      <c r="F606" s="249"/>
      <c r="G606" s="269"/>
    </row>
    <row r="607" spans="1:7" ht="16.5" x14ac:dyDescent="0.25">
      <c r="A607" s="268"/>
      <c r="B607" s="249"/>
      <c r="C607" s="249"/>
      <c r="D607" s="249"/>
      <c r="E607" s="249"/>
      <c r="F607" s="249"/>
      <c r="G607" s="269"/>
    </row>
    <row r="608" spans="1:7" ht="16.5" x14ac:dyDescent="0.25">
      <c r="A608" s="268"/>
      <c r="B608" s="249"/>
      <c r="C608" s="249"/>
      <c r="D608" s="249"/>
      <c r="E608" s="249"/>
      <c r="F608" s="249"/>
      <c r="G608" s="269"/>
    </row>
    <row r="609" spans="1:7" ht="16.5" x14ac:dyDescent="0.25">
      <c r="A609" s="248" t="s">
        <v>674</v>
      </c>
      <c r="B609" s="249"/>
      <c r="C609" s="249"/>
      <c r="D609" s="249"/>
      <c r="E609" s="249"/>
      <c r="F609" s="249" t="s">
        <v>655</v>
      </c>
      <c r="G609" s="250" t="s">
        <v>675</v>
      </c>
    </row>
    <row r="610" spans="1:7" ht="16.5" x14ac:dyDescent="0.25">
      <c r="A610" s="248"/>
      <c r="B610" s="249"/>
      <c r="C610" s="249"/>
      <c r="D610" s="249"/>
      <c r="E610" s="249"/>
      <c r="F610" s="249"/>
      <c r="G610" s="250"/>
    </row>
    <row r="611" spans="1:7" ht="18" x14ac:dyDescent="0.25">
      <c r="A611" s="350" t="s">
        <v>676</v>
      </c>
      <c r="B611" s="350"/>
      <c r="C611" s="350"/>
      <c r="D611" s="350"/>
      <c r="E611" s="350"/>
      <c r="F611" s="350"/>
      <c r="G611" s="350"/>
    </row>
    <row r="612" spans="1:7" ht="16.5" x14ac:dyDescent="0.25">
      <c r="A612" s="330"/>
      <c r="B612" s="330"/>
      <c r="C612" s="330"/>
      <c r="D612" s="330"/>
      <c r="E612" s="330"/>
      <c r="F612" s="330"/>
      <c r="G612" s="330"/>
    </row>
    <row r="613" spans="1:7" ht="15.75" x14ac:dyDescent="0.25">
      <c r="A613" s="252" t="s">
        <v>844</v>
      </c>
      <c r="B613" s="253"/>
      <c r="C613" s="253"/>
      <c r="D613" s="253"/>
      <c r="E613" s="253"/>
      <c r="F613" s="253"/>
      <c r="G613" s="253"/>
    </row>
    <row r="614" spans="1:7" ht="15.75" x14ac:dyDescent="0.25">
      <c r="A614" s="252"/>
      <c r="B614" s="253"/>
      <c r="C614" s="253"/>
      <c r="D614" s="253"/>
      <c r="E614" s="253"/>
      <c r="F614" s="253"/>
      <c r="G614" s="281"/>
    </row>
    <row r="615" spans="1:7" ht="15.75" x14ac:dyDescent="0.25">
      <c r="A615" s="351" t="s">
        <v>678</v>
      </c>
      <c r="B615" s="254" t="s">
        <v>679</v>
      </c>
      <c r="C615" s="254" t="s">
        <v>680</v>
      </c>
      <c r="D615" s="353" t="s">
        <v>681</v>
      </c>
      <c r="E615" s="354"/>
      <c r="F615" s="355"/>
      <c r="G615" s="254" t="s">
        <v>682</v>
      </c>
    </row>
    <row r="616" spans="1:7" ht="15.75" x14ac:dyDescent="0.25">
      <c r="A616" s="352"/>
      <c r="B616" s="255" t="s">
        <v>683</v>
      </c>
      <c r="C616" s="255" t="s">
        <v>684</v>
      </c>
      <c r="D616" s="255" t="s">
        <v>92</v>
      </c>
      <c r="E616" s="255" t="s">
        <v>93</v>
      </c>
      <c r="F616" s="356" t="s">
        <v>25</v>
      </c>
      <c r="G616" s="255" t="s">
        <v>454</v>
      </c>
    </row>
    <row r="617" spans="1:7" ht="15.75" x14ac:dyDescent="0.25">
      <c r="A617" s="352"/>
      <c r="B617" s="255"/>
      <c r="C617" s="255"/>
      <c r="D617" s="256" t="s">
        <v>684</v>
      </c>
      <c r="E617" s="256" t="s">
        <v>685</v>
      </c>
      <c r="F617" s="357"/>
      <c r="G617" s="255"/>
    </row>
    <row r="618" spans="1:7" ht="15.75" x14ac:dyDescent="0.25">
      <c r="A618" s="257" t="s">
        <v>686</v>
      </c>
      <c r="B618" s="258" t="s">
        <v>687</v>
      </c>
      <c r="C618" s="258" t="s">
        <v>688</v>
      </c>
      <c r="D618" s="259" t="s">
        <v>689</v>
      </c>
      <c r="E618" s="258" t="s">
        <v>690</v>
      </c>
      <c r="F618" s="258" t="s">
        <v>691</v>
      </c>
      <c r="G618" s="258" t="s">
        <v>692</v>
      </c>
    </row>
    <row r="619" spans="1:7" ht="31.5" x14ac:dyDescent="0.25">
      <c r="A619" s="323" t="s">
        <v>793</v>
      </c>
      <c r="B619" s="261"/>
      <c r="C619" s="261"/>
      <c r="D619" s="284"/>
      <c r="E619" s="284"/>
      <c r="F619" s="284"/>
      <c r="G619" s="284"/>
    </row>
    <row r="620" spans="1:7" ht="15.75" x14ac:dyDescent="0.25">
      <c r="A620" s="262" t="s">
        <v>724</v>
      </c>
      <c r="B620" s="264" t="s">
        <v>505</v>
      </c>
      <c r="C620" s="274">
        <v>46344</v>
      </c>
      <c r="D620" s="274">
        <v>38285.32</v>
      </c>
      <c r="E620" s="274">
        <v>7414.68</v>
      </c>
      <c r="F620" s="274">
        <f t="shared" ref="F620:F625" si="12">E620+D620</f>
        <v>45700</v>
      </c>
      <c r="G620" s="274">
        <v>45610</v>
      </c>
    </row>
    <row r="621" spans="1:7" ht="15.75" x14ac:dyDescent="0.25">
      <c r="A621" s="262" t="s">
        <v>725</v>
      </c>
      <c r="B621" s="264" t="s">
        <v>532</v>
      </c>
      <c r="C621" s="274">
        <v>53096.800000000003</v>
      </c>
      <c r="D621" s="274">
        <v>20595.21</v>
      </c>
      <c r="E621" s="274">
        <v>24404.79</v>
      </c>
      <c r="F621" s="274">
        <f t="shared" si="12"/>
        <v>45000</v>
      </c>
      <c r="G621" s="274">
        <v>45000</v>
      </c>
    </row>
    <row r="622" spans="1:7" ht="15.75" x14ac:dyDescent="0.25">
      <c r="A622" s="262" t="s">
        <v>729</v>
      </c>
      <c r="B622" s="264" t="s">
        <v>568</v>
      </c>
      <c r="C622" s="274">
        <v>14946</v>
      </c>
      <c r="D622" s="274">
        <v>8268</v>
      </c>
      <c r="E622" s="274">
        <v>8232</v>
      </c>
      <c r="F622" s="274">
        <f t="shared" si="12"/>
        <v>16500</v>
      </c>
      <c r="G622" s="274">
        <v>17500</v>
      </c>
    </row>
    <row r="623" spans="1:7" ht="15.75" x14ac:dyDescent="0.25">
      <c r="A623" s="262" t="s">
        <v>730</v>
      </c>
      <c r="B623" s="264" t="s">
        <v>529</v>
      </c>
      <c r="C623" s="274">
        <v>300</v>
      </c>
      <c r="D623" s="274">
        <v>6000</v>
      </c>
      <c r="E623" s="274">
        <v>3600</v>
      </c>
      <c r="F623" s="274">
        <f t="shared" si="12"/>
        <v>9600</v>
      </c>
      <c r="G623" s="274">
        <v>9600</v>
      </c>
    </row>
    <row r="624" spans="1:7" ht="15.75" x14ac:dyDescent="0.25">
      <c r="A624" s="262" t="s">
        <v>846</v>
      </c>
      <c r="B624" s="264" t="s">
        <v>533</v>
      </c>
      <c r="C624" s="274">
        <v>4885</v>
      </c>
      <c r="D624" s="274">
        <v>3275</v>
      </c>
      <c r="E624" s="274">
        <v>725</v>
      </c>
      <c r="F624" s="274">
        <f t="shared" si="12"/>
        <v>4000</v>
      </c>
      <c r="G624" s="274">
        <v>4090</v>
      </c>
    </row>
    <row r="625" spans="1:7" ht="15.75" x14ac:dyDescent="0.25">
      <c r="A625" s="262" t="s">
        <v>795</v>
      </c>
      <c r="B625" s="264" t="s">
        <v>545</v>
      </c>
      <c r="C625" s="274">
        <v>0</v>
      </c>
      <c r="D625" s="274">
        <v>0</v>
      </c>
      <c r="E625" s="274">
        <v>1000</v>
      </c>
      <c r="F625" s="274">
        <f t="shared" si="12"/>
        <v>1000</v>
      </c>
      <c r="G625" s="274">
        <v>0</v>
      </c>
    </row>
    <row r="626" spans="1:7" ht="15.75" x14ac:dyDescent="0.25">
      <c r="A626" s="294" t="s">
        <v>281</v>
      </c>
      <c r="B626" s="263"/>
      <c r="C626" s="312">
        <f>SUM(C620:C625)</f>
        <v>119571.8</v>
      </c>
      <c r="D626" s="312">
        <f>SUM(D620:D625)</f>
        <v>76423.53</v>
      </c>
      <c r="E626" s="312">
        <f>SUM(E620:E625)</f>
        <v>45376.47</v>
      </c>
      <c r="F626" s="312">
        <f>SUM(F620:F625)</f>
        <v>121800</v>
      </c>
      <c r="G626" s="332">
        <f>SUM(G620:G625)</f>
        <v>121800</v>
      </c>
    </row>
    <row r="627" spans="1:7" ht="15.75" x14ac:dyDescent="0.25">
      <c r="A627" s="262"/>
      <c r="B627" s="263"/>
      <c r="C627" s="284"/>
      <c r="D627" s="284"/>
      <c r="E627" s="284"/>
      <c r="F627" s="48"/>
      <c r="G627" s="274"/>
    </row>
    <row r="628" spans="1:7" ht="15.75" x14ac:dyDescent="0.25">
      <c r="A628" s="302" t="s">
        <v>796</v>
      </c>
      <c r="B628" s="263"/>
      <c r="C628" s="284"/>
      <c r="D628" s="284"/>
      <c r="E628" s="284"/>
      <c r="F628" s="48"/>
      <c r="G628" s="274"/>
    </row>
    <row r="629" spans="1:7" ht="15.75" x14ac:dyDescent="0.25">
      <c r="A629" s="262" t="s">
        <v>847</v>
      </c>
      <c r="B629" s="263"/>
      <c r="C629" s="274">
        <v>0</v>
      </c>
      <c r="D629" s="274">
        <v>0</v>
      </c>
      <c r="E629" s="274">
        <v>0</v>
      </c>
      <c r="F629" s="274">
        <v>0</v>
      </c>
      <c r="G629" s="274">
        <v>0</v>
      </c>
    </row>
    <row r="630" spans="1:7" ht="15.75" x14ac:dyDescent="0.25">
      <c r="A630" s="294" t="s">
        <v>282</v>
      </c>
      <c r="B630" s="263"/>
      <c r="C630" s="332">
        <f>SUM(C629:C629)</f>
        <v>0</v>
      </c>
      <c r="D630" s="332">
        <f>SUM(D629:D629)</f>
        <v>0</v>
      </c>
      <c r="E630" s="332">
        <f>SUM(E629:E629)</f>
        <v>0</v>
      </c>
      <c r="F630" s="312">
        <f>SUM(F629:F629)</f>
        <v>0</v>
      </c>
      <c r="G630" s="332">
        <f>SUM(G629)</f>
        <v>0</v>
      </c>
    </row>
    <row r="631" spans="1:7" ht="15.75" x14ac:dyDescent="0.25">
      <c r="A631" s="262"/>
      <c r="B631" s="263"/>
      <c r="C631" s="284"/>
      <c r="D631" s="284"/>
      <c r="E631" s="284"/>
      <c r="F631" s="48"/>
      <c r="G631" s="274"/>
    </row>
    <row r="632" spans="1:7" ht="15.75" x14ac:dyDescent="0.25">
      <c r="A632" s="265" t="s">
        <v>279</v>
      </c>
      <c r="B632" s="313"/>
      <c r="C632" s="267">
        <f>SUM(C630+C626+C603)</f>
        <v>1095707.8400000001</v>
      </c>
      <c r="D632" s="267">
        <f>SUM(D630+D626+D603)</f>
        <v>658126.13000000012</v>
      </c>
      <c r="E632" s="267">
        <f>SUM(E630+E626+E603)</f>
        <v>602350.33000000007</v>
      </c>
      <c r="F632" s="267">
        <f>SUM(F630+F626+F603)</f>
        <v>1260476.46</v>
      </c>
      <c r="G632" s="304">
        <f>G603+G626+G630</f>
        <v>1384970.21</v>
      </c>
    </row>
    <row r="633" spans="1:7" ht="15.75" x14ac:dyDescent="0.25">
      <c r="A633" s="252"/>
      <c r="B633" s="253"/>
      <c r="C633" s="253"/>
      <c r="D633" s="253"/>
      <c r="E633" s="253"/>
      <c r="F633" s="253"/>
      <c r="G633" s="253"/>
    </row>
    <row r="634" spans="1:7" ht="16.5" x14ac:dyDescent="0.25">
      <c r="A634" s="252" t="s">
        <v>798</v>
      </c>
      <c r="B634" s="253" t="s">
        <v>799</v>
      </c>
      <c r="C634" s="253"/>
      <c r="D634" s="253"/>
      <c r="E634" s="253" t="s">
        <v>651</v>
      </c>
      <c r="F634" s="314"/>
      <c r="G634" s="253"/>
    </row>
    <row r="635" spans="1:7" ht="16.5" x14ac:dyDescent="0.25">
      <c r="A635" s="252"/>
      <c r="B635" s="253"/>
      <c r="C635" s="253"/>
      <c r="D635" s="253"/>
      <c r="E635" s="253"/>
      <c r="F635" s="314"/>
      <c r="G635" s="253"/>
    </row>
    <row r="636" spans="1:7" ht="15.75" x14ac:dyDescent="0.25">
      <c r="A636" s="252"/>
      <c r="B636" s="253"/>
      <c r="C636" s="253"/>
      <c r="D636" s="253"/>
      <c r="E636" s="253"/>
      <c r="F636" s="253"/>
      <c r="G636" s="253"/>
    </row>
    <row r="637" spans="1:7" ht="15.75" x14ac:dyDescent="0.25">
      <c r="A637" s="296" t="s">
        <v>848</v>
      </c>
      <c r="B637" s="359" t="s">
        <v>800</v>
      </c>
      <c r="C637" s="359"/>
      <c r="D637" s="359"/>
      <c r="E637" s="359" t="s">
        <v>778</v>
      </c>
      <c r="F637" s="359"/>
      <c r="G637" s="359"/>
    </row>
    <row r="638" spans="1:7" ht="15.75" x14ac:dyDescent="0.25">
      <c r="A638" s="298" t="s">
        <v>849</v>
      </c>
      <c r="B638" s="360" t="s">
        <v>780</v>
      </c>
      <c r="C638" s="360"/>
      <c r="D638" s="360"/>
      <c r="E638" s="360" t="s">
        <v>802</v>
      </c>
      <c r="F638" s="360"/>
      <c r="G638" s="360"/>
    </row>
    <row r="639" spans="1:7" ht="15.75" x14ac:dyDescent="0.25">
      <c r="A639" s="252"/>
      <c r="B639" s="253"/>
      <c r="C639" s="253"/>
      <c r="D639" s="253"/>
      <c r="E639" s="253"/>
      <c r="F639" s="253"/>
      <c r="G639" s="253"/>
    </row>
    <row r="640" spans="1:7" ht="15.75" x14ac:dyDescent="0.25">
      <c r="A640" s="252"/>
      <c r="B640" s="253"/>
      <c r="C640" s="253"/>
      <c r="D640" s="253"/>
      <c r="E640" s="253"/>
      <c r="F640" s="253"/>
      <c r="G640" s="269" t="s">
        <v>850</v>
      </c>
    </row>
    <row r="641" spans="1:7" ht="15.75" x14ac:dyDescent="0.25">
      <c r="A641" s="252"/>
      <c r="B641" s="253"/>
      <c r="C641" s="253"/>
      <c r="D641" s="253"/>
      <c r="E641" s="253"/>
      <c r="F641" s="253"/>
      <c r="G641" s="253"/>
    </row>
    <row r="642" spans="1:7" ht="15.75" x14ac:dyDescent="0.25">
      <c r="A642" s="252"/>
      <c r="B642" s="253"/>
      <c r="C642" s="253"/>
      <c r="D642" s="253"/>
      <c r="E642" s="253"/>
      <c r="F642" s="253"/>
      <c r="G642" s="253"/>
    </row>
    <row r="643" spans="1:7" ht="15.75" x14ac:dyDescent="0.25">
      <c r="A643" s="252"/>
      <c r="B643" s="253"/>
      <c r="C643" s="253"/>
      <c r="D643" s="253"/>
      <c r="E643" s="253"/>
      <c r="F643" s="253"/>
      <c r="G643" s="253"/>
    </row>
    <row r="644" spans="1:7" ht="16.5" x14ac:dyDescent="0.25">
      <c r="A644" s="248" t="s">
        <v>674</v>
      </c>
      <c r="B644" s="249"/>
      <c r="C644" s="249"/>
      <c r="D644" s="249"/>
      <c r="E644" s="249"/>
      <c r="F644" s="249" t="s">
        <v>655</v>
      </c>
      <c r="G644" s="250" t="s">
        <v>675</v>
      </c>
    </row>
    <row r="645" spans="1:7" ht="18" x14ac:dyDescent="0.25">
      <c r="A645" s="350" t="s">
        <v>676</v>
      </c>
      <c r="B645" s="350"/>
      <c r="C645" s="350"/>
      <c r="D645" s="350"/>
      <c r="E645" s="350"/>
      <c r="F645" s="350"/>
      <c r="G645" s="350"/>
    </row>
    <row r="646" spans="1:7" ht="16.5" x14ac:dyDescent="0.25">
      <c r="A646" s="330"/>
      <c r="B646" s="330"/>
      <c r="C646" s="330"/>
      <c r="D646" s="330"/>
      <c r="E646" s="330"/>
      <c r="F646" s="330"/>
      <c r="G646" s="330"/>
    </row>
    <row r="647" spans="1:7" ht="15.75" x14ac:dyDescent="0.25">
      <c r="A647" s="252" t="s">
        <v>851</v>
      </c>
      <c r="B647" s="253"/>
      <c r="C647" s="253"/>
      <c r="D647" s="253"/>
      <c r="E647" s="253"/>
      <c r="F647" s="253"/>
      <c r="G647" s="253"/>
    </row>
    <row r="648" spans="1:7" ht="15.75" x14ac:dyDescent="0.25">
      <c r="A648" s="252"/>
      <c r="B648" s="253"/>
      <c r="C648" s="253"/>
      <c r="D648" s="253"/>
      <c r="E648" s="253"/>
      <c r="F648" s="253"/>
      <c r="G648" s="281"/>
    </row>
    <row r="649" spans="1:7" ht="15.75" x14ac:dyDescent="0.25">
      <c r="A649" s="351" t="s">
        <v>678</v>
      </c>
      <c r="B649" s="254" t="s">
        <v>679</v>
      </c>
      <c r="C649" s="254" t="s">
        <v>680</v>
      </c>
      <c r="D649" s="353" t="s">
        <v>681</v>
      </c>
      <c r="E649" s="354"/>
      <c r="F649" s="355"/>
      <c r="G649" s="254" t="s">
        <v>682</v>
      </c>
    </row>
    <row r="650" spans="1:7" ht="15.75" x14ac:dyDescent="0.25">
      <c r="A650" s="352"/>
      <c r="B650" s="255" t="s">
        <v>683</v>
      </c>
      <c r="C650" s="255" t="s">
        <v>684</v>
      </c>
      <c r="D650" s="255" t="s">
        <v>92</v>
      </c>
      <c r="E650" s="255" t="s">
        <v>93</v>
      </c>
      <c r="F650" s="356" t="s">
        <v>25</v>
      </c>
      <c r="G650" s="255" t="s">
        <v>454</v>
      </c>
    </row>
    <row r="651" spans="1:7" ht="15.75" x14ac:dyDescent="0.25">
      <c r="A651" s="352"/>
      <c r="B651" s="255"/>
      <c r="C651" s="255"/>
      <c r="D651" s="256" t="s">
        <v>684</v>
      </c>
      <c r="E651" s="256" t="s">
        <v>685</v>
      </c>
      <c r="F651" s="357"/>
      <c r="G651" s="255"/>
    </row>
    <row r="652" spans="1:7" ht="15.75" x14ac:dyDescent="0.25">
      <c r="A652" s="257" t="s">
        <v>686</v>
      </c>
      <c r="B652" s="258" t="s">
        <v>687</v>
      </c>
      <c r="C652" s="258" t="s">
        <v>688</v>
      </c>
      <c r="D652" s="259" t="s">
        <v>689</v>
      </c>
      <c r="E652" s="258" t="s">
        <v>690</v>
      </c>
      <c r="F652" s="258" t="s">
        <v>691</v>
      </c>
      <c r="G652" s="258" t="s">
        <v>692</v>
      </c>
    </row>
    <row r="653" spans="1:7" ht="15.75" x14ac:dyDescent="0.25">
      <c r="A653" s="260" t="s">
        <v>693</v>
      </c>
      <c r="B653" s="331"/>
      <c r="C653" s="261"/>
      <c r="D653" s="284"/>
      <c r="E653" s="284"/>
      <c r="F653" s="284"/>
      <c r="G653" s="284"/>
    </row>
    <row r="654" spans="1:7" ht="15.75" x14ac:dyDescent="0.25">
      <c r="A654" s="302" t="s">
        <v>784</v>
      </c>
      <c r="B654" s="283"/>
      <c r="C654" s="263"/>
      <c r="D654" s="284"/>
      <c r="E654" s="284"/>
      <c r="F654" s="284"/>
      <c r="G654" s="284"/>
    </row>
    <row r="655" spans="1:7" ht="15.75" x14ac:dyDescent="0.25">
      <c r="A655" s="262" t="s">
        <v>695</v>
      </c>
      <c r="B655" s="264" t="s">
        <v>505</v>
      </c>
      <c r="C655" s="274">
        <v>621726</v>
      </c>
      <c r="D655" s="274">
        <v>348756</v>
      </c>
      <c r="E655" s="274">
        <v>348756</v>
      </c>
      <c r="F655" s="274">
        <f>E655+D655</f>
        <v>697512</v>
      </c>
      <c r="G655" s="274">
        <v>783972</v>
      </c>
    </row>
    <row r="656" spans="1:7" ht="15.75" x14ac:dyDescent="0.25">
      <c r="A656" s="262" t="s">
        <v>696</v>
      </c>
      <c r="B656" s="264" t="s">
        <v>521</v>
      </c>
      <c r="C656" s="274">
        <v>74607.12</v>
      </c>
      <c r="D656" s="274">
        <v>41850.720000000001</v>
      </c>
      <c r="E656" s="274">
        <v>41850.720000000001</v>
      </c>
      <c r="F656" s="274">
        <f t="shared" ref="F656:F672" si="13">E656+D656</f>
        <v>83701.440000000002</v>
      </c>
      <c r="G656" s="274">
        <v>94076.64</v>
      </c>
    </row>
    <row r="657" spans="1:7" ht="15.75" x14ac:dyDescent="0.25">
      <c r="A657" s="262" t="s">
        <v>697</v>
      </c>
      <c r="B657" s="264" t="s">
        <v>527</v>
      </c>
      <c r="C657" s="274">
        <v>64530.75</v>
      </c>
      <c r="D657" s="274">
        <v>68978.38</v>
      </c>
      <c r="E657" s="274">
        <v>21.62</v>
      </c>
      <c r="F657" s="274">
        <f t="shared" si="13"/>
        <v>69000</v>
      </c>
      <c r="G657" s="274">
        <v>94454.32</v>
      </c>
    </row>
    <row r="658" spans="1:7" ht="15.75" x14ac:dyDescent="0.25">
      <c r="A658" s="262" t="s">
        <v>698</v>
      </c>
      <c r="B658" s="264" t="s">
        <v>508</v>
      </c>
      <c r="C658" s="274">
        <v>48000</v>
      </c>
      <c r="D658" s="274">
        <v>24000</v>
      </c>
      <c r="E658" s="274">
        <v>24000</v>
      </c>
      <c r="F658" s="274">
        <f t="shared" si="13"/>
        <v>48000</v>
      </c>
      <c r="G658" s="274">
        <v>48000</v>
      </c>
    </row>
    <row r="659" spans="1:7" ht="15.75" x14ac:dyDescent="0.25">
      <c r="A659" s="262" t="s">
        <v>699</v>
      </c>
      <c r="B659" s="264" t="s">
        <v>664</v>
      </c>
      <c r="C659" s="274">
        <v>10000</v>
      </c>
      <c r="D659" s="274">
        <v>0</v>
      </c>
      <c r="E659" s="274">
        <v>0</v>
      </c>
      <c r="F659" s="274">
        <f t="shared" si="13"/>
        <v>0</v>
      </c>
      <c r="G659" s="274">
        <v>0</v>
      </c>
    </row>
    <row r="660" spans="1:7" ht="15.75" x14ac:dyDescent="0.25">
      <c r="A660" s="262" t="s">
        <v>700</v>
      </c>
      <c r="B660" s="264" t="s">
        <v>522</v>
      </c>
      <c r="C660" s="274">
        <v>12434.52</v>
      </c>
      <c r="D660" s="274">
        <v>6975.12</v>
      </c>
      <c r="E660" s="274">
        <v>6975.12</v>
      </c>
      <c r="F660" s="274">
        <f t="shared" si="13"/>
        <v>13950.24</v>
      </c>
      <c r="G660" s="274">
        <v>15679.44</v>
      </c>
    </row>
    <row r="661" spans="1:7" ht="15.75" x14ac:dyDescent="0.25">
      <c r="A661" s="262" t="s">
        <v>701</v>
      </c>
      <c r="B661" s="264" t="s">
        <v>523</v>
      </c>
      <c r="C661" s="274">
        <v>6900</v>
      </c>
      <c r="D661" s="274">
        <v>3450</v>
      </c>
      <c r="E661" s="274">
        <v>3600</v>
      </c>
      <c r="F661" s="274">
        <f t="shared" si="13"/>
        <v>7050</v>
      </c>
      <c r="G661" s="274">
        <v>7050</v>
      </c>
    </row>
    <row r="662" spans="1:7" ht="15.75" x14ac:dyDescent="0.25">
      <c r="A662" s="262" t="s">
        <v>702</v>
      </c>
      <c r="B662" s="264" t="s">
        <v>524</v>
      </c>
      <c r="C662" s="274">
        <v>2400</v>
      </c>
      <c r="D662" s="274">
        <v>1200</v>
      </c>
      <c r="E662" s="274">
        <v>5775.12</v>
      </c>
      <c r="F662" s="274">
        <f t="shared" si="13"/>
        <v>6975.12</v>
      </c>
      <c r="G662" s="274">
        <v>7839.72</v>
      </c>
    </row>
    <row r="663" spans="1:7" ht="15.75" x14ac:dyDescent="0.25">
      <c r="A663" s="262" t="s">
        <v>785</v>
      </c>
      <c r="B663" s="264" t="s">
        <v>704</v>
      </c>
      <c r="C663" s="274">
        <v>0</v>
      </c>
      <c r="D663" s="274">
        <v>58126</v>
      </c>
      <c r="E663" s="274">
        <v>0</v>
      </c>
      <c r="F663" s="274">
        <f t="shared" si="13"/>
        <v>58126</v>
      </c>
      <c r="G663" s="274">
        <v>65331</v>
      </c>
    </row>
    <row r="664" spans="1:7" ht="15.75" x14ac:dyDescent="0.25">
      <c r="A664" s="262" t="s">
        <v>705</v>
      </c>
      <c r="B664" s="264" t="s">
        <v>704</v>
      </c>
      <c r="C664" s="274">
        <v>51820</v>
      </c>
      <c r="D664" s="274">
        <v>0</v>
      </c>
      <c r="E664" s="274">
        <v>58126</v>
      </c>
      <c r="F664" s="274">
        <f t="shared" si="13"/>
        <v>58126</v>
      </c>
      <c r="G664" s="274">
        <v>65331</v>
      </c>
    </row>
    <row r="665" spans="1:7" ht="15.75" x14ac:dyDescent="0.25">
      <c r="A665" s="262" t="s">
        <v>706</v>
      </c>
      <c r="B665" s="264" t="s">
        <v>707</v>
      </c>
      <c r="C665" s="274">
        <v>10000</v>
      </c>
      <c r="D665" s="274">
        <v>5000</v>
      </c>
      <c r="E665" s="274">
        <v>5000</v>
      </c>
      <c r="F665" s="274">
        <f t="shared" si="13"/>
        <v>10000</v>
      </c>
      <c r="G665" s="274">
        <v>10000</v>
      </c>
    </row>
    <row r="666" spans="1:7" ht="15.75" x14ac:dyDescent="0.25">
      <c r="A666" s="262" t="s">
        <v>786</v>
      </c>
      <c r="B666" s="264" t="s">
        <v>709</v>
      </c>
      <c r="C666" s="274">
        <v>67500</v>
      </c>
      <c r="D666" s="274">
        <v>33750</v>
      </c>
      <c r="E666" s="274">
        <v>33750</v>
      </c>
      <c r="F666" s="274">
        <f t="shared" si="13"/>
        <v>67500</v>
      </c>
      <c r="G666" s="274">
        <v>67500</v>
      </c>
    </row>
    <row r="667" spans="1:7" ht="15.75" x14ac:dyDescent="0.25">
      <c r="A667" s="262" t="s">
        <v>787</v>
      </c>
      <c r="B667" s="264" t="s">
        <v>510</v>
      </c>
      <c r="C667" s="274">
        <v>67500</v>
      </c>
      <c r="D667" s="274">
        <v>33750</v>
      </c>
      <c r="E667" s="274">
        <v>33750</v>
      </c>
      <c r="F667" s="274">
        <f t="shared" si="13"/>
        <v>67500</v>
      </c>
      <c r="G667" s="274">
        <v>67500</v>
      </c>
    </row>
    <row r="668" spans="1:7" ht="15.75" x14ac:dyDescent="0.25">
      <c r="A668" s="262" t="s">
        <v>788</v>
      </c>
      <c r="B668" s="264" t="s">
        <v>712</v>
      </c>
      <c r="C668" s="274">
        <v>10000</v>
      </c>
      <c r="D668" s="274">
        <v>10000</v>
      </c>
      <c r="E668" s="274">
        <v>0</v>
      </c>
      <c r="F668" s="274">
        <f t="shared" si="13"/>
        <v>10000</v>
      </c>
      <c r="G668" s="274">
        <v>10000</v>
      </c>
    </row>
    <row r="669" spans="1:7" ht="15.75" x14ac:dyDescent="0.25">
      <c r="A669" s="262" t="s">
        <v>713</v>
      </c>
      <c r="B669" s="264" t="s">
        <v>789</v>
      </c>
      <c r="C669" s="48">
        <v>0</v>
      </c>
      <c r="D669" s="274">
        <v>0</v>
      </c>
      <c r="E669" s="274">
        <v>0</v>
      </c>
      <c r="F669" s="274">
        <f t="shared" si="13"/>
        <v>0</v>
      </c>
      <c r="G669" s="274">
        <v>5000</v>
      </c>
    </row>
    <row r="670" spans="1:7" ht="15.75" x14ac:dyDescent="0.25">
      <c r="A670" s="262" t="s">
        <v>717</v>
      </c>
      <c r="B670" s="264" t="s">
        <v>527</v>
      </c>
      <c r="C670" s="263">
        <v>10000</v>
      </c>
      <c r="D670" s="284">
        <v>0</v>
      </c>
      <c r="E670" s="284">
        <v>10000</v>
      </c>
      <c r="F670" s="274">
        <f t="shared" si="13"/>
        <v>10000</v>
      </c>
      <c r="G670" s="274">
        <v>0</v>
      </c>
    </row>
    <row r="671" spans="1:7" ht="15.75" x14ac:dyDescent="0.25">
      <c r="A671" s="262" t="s">
        <v>829</v>
      </c>
      <c r="B671" s="264" t="s">
        <v>527</v>
      </c>
      <c r="C671" s="263"/>
      <c r="D671" s="284">
        <v>4000</v>
      </c>
      <c r="E671" s="284">
        <v>0</v>
      </c>
      <c r="F671" s="274">
        <f t="shared" si="13"/>
        <v>4000</v>
      </c>
      <c r="G671" s="274"/>
    </row>
    <row r="672" spans="1:7" ht="15.75" x14ac:dyDescent="0.25">
      <c r="A672" s="262" t="s">
        <v>721</v>
      </c>
      <c r="B672" s="264" t="s">
        <v>527</v>
      </c>
      <c r="C672" s="263">
        <v>51820</v>
      </c>
      <c r="D672" s="284">
        <v>0</v>
      </c>
      <c r="E672" s="284">
        <v>10000</v>
      </c>
      <c r="F672" s="274">
        <f t="shared" si="13"/>
        <v>10000</v>
      </c>
      <c r="G672" s="274">
        <v>10000</v>
      </c>
    </row>
    <row r="673" spans="1:7" ht="15.75" x14ac:dyDescent="0.25">
      <c r="A673" s="265" t="s">
        <v>722</v>
      </c>
      <c r="B673" s="276"/>
      <c r="C673" s="304">
        <f>SUM(C653:C672)</f>
        <v>1109238.3900000001</v>
      </c>
      <c r="D673" s="304">
        <f>SUM(D653:D672)</f>
        <v>639836.22</v>
      </c>
      <c r="E673" s="304">
        <f>SUM(E653:E672)</f>
        <v>581604.57999999996</v>
      </c>
      <c r="F673" s="304">
        <f>SUM(F653:F672)</f>
        <v>1221440.7999999998</v>
      </c>
      <c r="G673" s="304">
        <f>SUM(G655:G672)</f>
        <v>1351734.1199999999</v>
      </c>
    </row>
    <row r="674" spans="1:7" ht="15.75" x14ac:dyDescent="0.25">
      <c r="A674" s="252"/>
      <c r="B674" s="253"/>
      <c r="C674" s="253"/>
      <c r="D674" s="253"/>
      <c r="E674" s="253"/>
      <c r="F674" s="253"/>
      <c r="G674" s="253"/>
    </row>
    <row r="675" spans="1:7" ht="15.75" x14ac:dyDescent="0.25">
      <c r="A675" s="252"/>
      <c r="B675" s="253"/>
      <c r="C675" s="253"/>
      <c r="D675" s="253"/>
      <c r="E675" s="253"/>
      <c r="F675" s="253"/>
      <c r="G675" s="269" t="s">
        <v>852</v>
      </c>
    </row>
    <row r="676" spans="1:7" ht="16.5" x14ac:dyDescent="0.25">
      <c r="A676" s="268"/>
      <c r="B676" s="249"/>
      <c r="C676" s="249"/>
      <c r="D676" s="249"/>
      <c r="E676" s="249"/>
      <c r="F676" s="249"/>
      <c r="G676" s="269"/>
    </row>
    <row r="677" spans="1:7" ht="16.5" x14ac:dyDescent="0.25">
      <c r="A677" s="268"/>
      <c r="B677" s="249"/>
      <c r="C677" s="249"/>
      <c r="D677" s="249"/>
      <c r="E677" s="249"/>
      <c r="F677" s="249"/>
      <c r="G677" s="269"/>
    </row>
    <row r="678" spans="1:7" ht="16.5" x14ac:dyDescent="0.25">
      <c r="A678" s="268"/>
      <c r="B678" s="249"/>
      <c r="C678" s="249"/>
      <c r="D678" s="249"/>
      <c r="E678" s="249"/>
      <c r="F678" s="249"/>
      <c r="G678" s="269"/>
    </row>
    <row r="679" spans="1:7" ht="16.5" x14ac:dyDescent="0.25">
      <c r="A679" s="268"/>
      <c r="B679" s="249"/>
      <c r="C679" s="249"/>
      <c r="D679" s="249"/>
      <c r="E679" s="249"/>
      <c r="F679" s="249"/>
      <c r="G679" s="269"/>
    </row>
    <row r="680" spans="1:7" ht="16.5" x14ac:dyDescent="0.25">
      <c r="A680" s="248" t="s">
        <v>674</v>
      </c>
      <c r="B680" s="249"/>
      <c r="C680" s="249"/>
      <c r="D680" s="249"/>
      <c r="E680" s="249"/>
      <c r="F680" s="249" t="s">
        <v>655</v>
      </c>
      <c r="G680" s="250" t="s">
        <v>675</v>
      </c>
    </row>
    <row r="681" spans="1:7" ht="16.5" x14ac:dyDescent="0.25">
      <c r="A681" s="248"/>
      <c r="B681" s="249"/>
      <c r="C681" s="249"/>
      <c r="D681" s="249"/>
      <c r="E681" s="249"/>
      <c r="F681" s="249"/>
      <c r="G681" s="250"/>
    </row>
    <row r="682" spans="1:7" ht="18" x14ac:dyDescent="0.25">
      <c r="A682" s="350" t="s">
        <v>676</v>
      </c>
      <c r="B682" s="350"/>
      <c r="C682" s="350"/>
      <c r="D682" s="350"/>
      <c r="E682" s="350"/>
      <c r="F682" s="350"/>
      <c r="G682" s="350"/>
    </row>
    <row r="683" spans="1:7" ht="16.5" x14ac:dyDescent="0.25">
      <c r="A683" s="330"/>
      <c r="B683" s="330"/>
      <c r="C683" s="330"/>
      <c r="D683" s="330"/>
      <c r="E683" s="330"/>
      <c r="F683" s="330"/>
      <c r="G683" s="330"/>
    </row>
    <row r="684" spans="1:7" ht="15.75" x14ac:dyDescent="0.25">
      <c r="A684" s="252" t="s">
        <v>851</v>
      </c>
      <c r="B684" s="253"/>
      <c r="C684" s="253"/>
      <c r="D684" s="253"/>
      <c r="E684" s="253"/>
      <c r="F684" s="253"/>
      <c r="G684" s="253"/>
    </row>
    <row r="685" spans="1:7" ht="15.75" x14ac:dyDescent="0.25">
      <c r="A685" s="252"/>
      <c r="B685" s="253"/>
      <c r="C685" s="253"/>
      <c r="D685" s="253"/>
      <c r="E685" s="253"/>
      <c r="F685" s="253"/>
      <c r="G685" s="281"/>
    </row>
    <row r="686" spans="1:7" ht="15.75" x14ac:dyDescent="0.25">
      <c r="A686" s="351" t="s">
        <v>678</v>
      </c>
      <c r="B686" s="254" t="s">
        <v>679</v>
      </c>
      <c r="C686" s="254" t="s">
        <v>680</v>
      </c>
      <c r="D686" s="353" t="s">
        <v>681</v>
      </c>
      <c r="E686" s="354"/>
      <c r="F686" s="355"/>
      <c r="G686" s="254" t="s">
        <v>682</v>
      </c>
    </row>
    <row r="687" spans="1:7" ht="15.75" x14ac:dyDescent="0.25">
      <c r="A687" s="352"/>
      <c r="B687" s="255" t="s">
        <v>683</v>
      </c>
      <c r="C687" s="255" t="s">
        <v>684</v>
      </c>
      <c r="D687" s="255" t="s">
        <v>92</v>
      </c>
      <c r="E687" s="255" t="s">
        <v>93</v>
      </c>
      <c r="F687" s="356" t="s">
        <v>25</v>
      </c>
      <c r="G687" s="255" t="s">
        <v>454</v>
      </c>
    </row>
    <row r="688" spans="1:7" ht="15.75" x14ac:dyDescent="0.25">
      <c r="A688" s="352"/>
      <c r="B688" s="255"/>
      <c r="C688" s="255"/>
      <c r="D688" s="256" t="s">
        <v>684</v>
      </c>
      <c r="E688" s="256" t="s">
        <v>685</v>
      </c>
      <c r="F688" s="357"/>
      <c r="G688" s="255"/>
    </row>
    <row r="689" spans="1:7" ht="15.75" x14ac:dyDescent="0.25">
      <c r="A689" s="257" t="s">
        <v>686</v>
      </c>
      <c r="B689" s="258" t="s">
        <v>687</v>
      </c>
      <c r="C689" s="258" t="s">
        <v>688</v>
      </c>
      <c r="D689" s="259" t="s">
        <v>689</v>
      </c>
      <c r="E689" s="258" t="s">
        <v>690</v>
      </c>
      <c r="F689" s="258" t="s">
        <v>691</v>
      </c>
      <c r="G689" s="258" t="s">
        <v>692</v>
      </c>
    </row>
    <row r="690" spans="1:7" ht="31.5" x14ac:dyDescent="0.25">
      <c r="A690" s="323" t="s">
        <v>793</v>
      </c>
      <c r="B690" s="261"/>
      <c r="C690" s="261"/>
      <c r="D690" s="284"/>
      <c r="E690" s="284"/>
      <c r="F690" s="284"/>
      <c r="G690" s="284"/>
    </row>
    <row r="691" spans="1:7" ht="15.75" x14ac:dyDescent="0.25">
      <c r="A691" s="262" t="s">
        <v>724</v>
      </c>
      <c r="B691" s="264" t="s">
        <v>505</v>
      </c>
      <c r="C691" s="274">
        <v>54112</v>
      </c>
      <c r="D691" s="274">
        <v>22281</v>
      </c>
      <c r="E691" s="274">
        <v>32719</v>
      </c>
      <c r="F691" s="274">
        <f>E691+D691</f>
        <v>55000</v>
      </c>
      <c r="G691" s="274">
        <v>55000</v>
      </c>
    </row>
    <row r="692" spans="1:7" ht="15.75" x14ac:dyDescent="0.25">
      <c r="A692" s="262" t="s">
        <v>725</v>
      </c>
      <c r="B692" s="264" t="s">
        <v>532</v>
      </c>
      <c r="C692" s="274">
        <v>37987.800000000003</v>
      </c>
      <c r="D692" s="274">
        <v>25170.7</v>
      </c>
      <c r="E692" s="274">
        <v>14829.3</v>
      </c>
      <c r="F692" s="274">
        <f>E692+D692</f>
        <v>40000</v>
      </c>
      <c r="G692" s="274">
        <v>40000</v>
      </c>
    </row>
    <row r="693" spans="1:7" ht="15.75" x14ac:dyDescent="0.25">
      <c r="A693" s="262" t="s">
        <v>730</v>
      </c>
      <c r="B693" s="264" t="s">
        <v>568</v>
      </c>
      <c r="C693" s="274">
        <v>13300</v>
      </c>
      <c r="D693" s="274">
        <v>500</v>
      </c>
      <c r="E693" s="274">
        <v>27500</v>
      </c>
      <c r="F693" s="274">
        <f>E693+D693</f>
        <v>28000</v>
      </c>
      <c r="G693" s="274">
        <v>28000</v>
      </c>
    </row>
    <row r="694" spans="1:7" ht="15.75" x14ac:dyDescent="0.25">
      <c r="A694" s="262" t="s">
        <v>729</v>
      </c>
      <c r="B694" s="264" t="s">
        <v>529</v>
      </c>
      <c r="C694" s="274">
        <v>40800</v>
      </c>
      <c r="D694" s="274">
        <v>19716</v>
      </c>
      <c r="E694" s="274">
        <v>9084</v>
      </c>
      <c r="F694" s="274">
        <f>E694+D694</f>
        <v>28800</v>
      </c>
      <c r="G694" s="274">
        <v>28800</v>
      </c>
    </row>
    <row r="695" spans="1:7" ht="15.75" x14ac:dyDescent="0.25">
      <c r="A695" s="262" t="s">
        <v>795</v>
      </c>
      <c r="B695" s="264" t="s">
        <v>545</v>
      </c>
      <c r="C695" s="274">
        <v>5000</v>
      </c>
      <c r="D695" s="274">
        <v>3000</v>
      </c>
      <c r="E695" s="274">
        <v>2000</v>
      </c>
      <c r="F695" s="274">
        <f>E695+D695</f>
        <v>5000</v>
      </c>
      <c r="G695" s="274">
        <v>5000</v>
      </c>
    </row>
    <row r="696" spans="1:7" ht="15.75" x14ac:dyDescent="0.25">
      <c r="A696" s="294" t="s">
        <v>281</v>
      </c>
      <c r="B696" s="263"/>
      <c r="C696" s="333">
        <f>SUM(C691:C695)</f>
        <v>151199.79999999999</v>
      </c>
      <c r="D696" s="333">
        <f>SUM(D691:D695)</f>
        <v>70667.7</v>
      </c>
      <c r="E696" s="333">
        <f>SUM(E691:E695)</f>
        <v>86132.3</v>
      </c>
      <c r="F696" s="333">
        <f>SUM(F691:F695)</f>
        <v>156800</v>
      </c>
      <c r="G696" s="332">
        <f>SUM(G691:G695)</f>
        <v>156800</v>
      </c>
    </row>
    <row r="697" spans="1:7" ht="15.75" x14ac:dyDescent="0.25">
      <c r="A697" s="262"/>
      <c r="B697" s="263"/>
      <c r="C697" s="284"/>
      <c r="D697" s="284"/>
      <c r="E697" s="284"/>
      <c r="F697" s="48"/>
      <c r="G697" s="274">
        <v>0</v>
      </c>
    </row>
    <row r="698" spans="1:7" ht="15.75" x14ac:dyDescent="0.25">
      <c r="A698" s="302" t="s">
        <v>796</v>
      </c>
      <c r="B698" s="263"/>
      <c r="C698" s="284"/>
      <c r="D698" s="284"/>
      <c r="E698" s="284"/>
      <c r="F698" s="48"/>
      <c r="G698" s="274"/>
    </row>
    <row r="699" spans="1:7" ht="15.75" x14ac:dyDescent="0.25">
      <c r="A699" s="262" t="s">
        <v>655</v>
      </c>
      <c r="B699" s="263"/>
      <c r="C699" s="274">
        <v>0</v>
      </c>
      <c r="D699" s="274"/>
      <c r="E699" s="274"/>
      <c r="F699" s="48" t="s">
        <v>655</v>
      </c>
      <c r="G699" s="274"/>
    </row>
    <row r="700" spans="1:7" ht="15.75" x14ac:dyDescent="0.25">
      <c r="A700" s="294" t="s">
        <v>282</v>
      </c>
      <c r="B700" s="263"/>
      <c r="C700" s="332">
        <v>0</v>
      </c>
      <c r="D700" s="332"/>
      <c r="E700" s="332"/>
      <c r="F700" s="312">
        <f>SUM(F699)</f>
        <v>0</v>
      </c>
      <c r="G700" s="274"/>
    </row>
    <row r="701" spans="1:7" ht="15.75" x14ac:dyDescent="0.25">
      <c r="A701" s="262"/>
      <c r="B701" s="263"/>
      <c r="C701" s="48"/>
      <c r="D701" s="48"/>
      <c r="E701" s="48"/>
      <c r="F701" s="48"/>
      <c r="G701" s="274"/>
    </row>
    <row r="702" spans="1:7" ht="15.75" x14ac:dyDescent="0.25">
      <c r="A702" s="265" t="s">
        <v>279</v>
      </c>
      <c r="B702" s="313"/>
      <c r="C702" s="304">
        <f>C673+C696+C700</f>
        <v>1260438.1900000002</v>
      </c>
      <c r="D702" s="304">
        <f>D673+D696+D700</f>
        <v>710503.91999999993</v>
      </c>
      <c r="E702" s="304">
        <f>E673+E696+E700</f>
        <v>667736.88</v>
      </c>
      <c r="F702" s="304">
        <f>F673+F696+F700</f>
        <v>1378240.7999999998</v>
      </c>
      <c r="G702" s="304">
        <f>G673+G696+G700</f>
        <v>1508534.1199999999</v>
      </c>
    </row>
    <row r="703" spans="1:7" ht="15.75" x14ac:dyDescent="0.25">
      <c r="A703" s="252"/>
      <c r="B703" s="253"/>
      <c r="C703" s="253"/>
      <c r="D703" s="253"/>
      <c r="E703" s="253"/>
      <c r="F703" s="253"/>
      <c r="G703" s="253"/>
    </row>
    <row r="704" spans="1:7" ht="15.75" x14ac:dyDescent="0.25">
      <c r="A704" s="363" t="s">
        <v>853</v>
      </c>
      <c r="B704" s="363"/>
      <c r="C704" s="253" t="s">
        <v>651</v>
      </c>
      <c r="D704" s="253"/>
      <c r="E704" s="253"/>
      <c r="F704" s="334"/>
      <c r="G704" s="253"/>
    </row>
    <row r="705" spans="1:7" ht="15.75" x14ac:dyDescent="0.25">
      <c r="A705" s="252"/>
      <c r="B705" s="253"/>
      <c r="C705" s="253"/>
      <c r="D705" s="253"/>
      <c r="E705" s="253"/>
      <c r="F705" s="253"/>
      <c r="G705" s="253"/>
    </row>
    <row r="706" spans="1:7" ht="15.75" x14ac:dyDescent="0.25">
      <c r="A706" s="252"/>
      <c r="B706" s="253"/>
      <c r="C706" s="253"/>
      <c r="D706" s="253"/>
      <c r="E706" s="253"/>
      <c r="F706" s="253"/>
      <c r="G706" s="253"/>
    </row>
    <row r="707" spans="1:7" ht="15.75" x14ac:dyDescent="0.25">
      <c r="A707" s="364" t="s">
        <v>800</v>
      </c>
      <c r="B707" s="364"/>
      <c r="C707" s="359" t="s">
        <v>778</v>
      </c>
      <c r="D707" s="359"/>
      <c r="E707" s="359"/>
      <c r="F707" s="359"/>
      <c r="G707" s="359"/>
    </row>
    <row r="708" spans="1:7" ht="15.75" x14ac:dyDescent="0.25">
      <c r="A708" s="362" t="s">
        <v>854</v>
      </c>
      <c r="B708" s="362"/>
      <c r="C708" s="360" t="s">
        <v>802</v>
      </c>
      <c r="D708" s="360"/>
      <c r="E708" s="360"/>
      <c r="F708" s="360"/>
      <c r="G708" s="360"/>
    </row>
    <row r="709" spans="1:7" ht="15.75" x14ac:dyDescent="0.25">
      <c r="A709" s="252"/>
      <c r="B709" s="253"/>
      <c r="C709" s="253"/>
      <c r="D709" s="253"/>
      <c r="E709" s="253"/>
      <c r="F709" s="253"/>
      <c r="G709" s="253"/>
    </row>
    <row r="710" spans="1:7" ht="15.75" x14ac:dyDescent="0.25">
      <c r="A710" s="252"/>
      <c r="B710" s="253"/>
      <c r="C710" s="253"/>
      <c r="D710" s="253"/>
      <c r="E710" s="253"/>
      <c r="F710" s="253"/>
      <c r="G710" s="269" t="s">
        <v>855</v>
      </c>
    </row>
    <row r="711" spans="1:7" ht="15.75" x14ac:dyDescent="0.25">
      <c r="A711" s="252"/>
      <c r="B711" s="253"/>
      <c r="C711" s="253"/>
      <c r="D711" s="253"/>
      <c r="E711" s="253"/>
      <c r="F711" s="253"/>
      <c r="G711" s="253"/>
    </row>
    <row r="712" spans="1:7" ht="15.75" x14ac:dyDescent="0.25">
      <c r="A712" s="252"/>
      <c r="B712" s="253"/>
      <c r="C712" s="253"/>
      <c r="D712" s="253"/>
      <c r="E712" s="253"/>
      <c r="F712" s="253"/>
      <c r="G712" s="253"/>
    </row>
    <row r="713" spans="1:7" ht="15.75" x14ac:dyDescent="0.25">
      <c r="A713" s="252"/>
      <c r="B713" s="253"/>
      <c r="C713" s="253"/>
      <c r="D713" s="253"/>
      <c r="E713" s="253"/>
      <c r="F713" s="253"/>
      <c r="G713" s="253"/>
    </row>
    <row r="714" spans="1:7" ht="16.5" x14ac:dyDescent="0.25">
      <c r="A714" s="268"/>
      <c r="B714" s="249"/>
      <c r="C714" s="249"/>
      <c r="D714" s="249"/>
      <c r="E714" s="249"/>
      <c r="F714" s="249"/>
      <c r="G714" s="249"/>
    </row>
    <row r="715" spans="1:7" ht="16.5" x14ac:dyDescent="0.25">
      <c r="A715" s="268"/>
      <c r="B715" s="249"/>
      <c r="C715" s="249"/>
      <c r="D715" s="249"/>
      <c r="E715" s="249"/>
      <c r="F715" s="249"/>
      <c r="G715" s="249"/>
    </row>
    <row r="716" spans="1:7" ht="16.5" x14ac:dyDescent="0.25">
      <c r="A716" s="268"/>
      <c r="B716" s="249"/>
      <c r="C716" s="249"/>
      <c r="D716" s="249"/>
      <c r="E716" s="249"/>
      <c r="F716" s="249"/>
      <c r="G716" s="249"/>
    </row>
    <row r="717" spans="1:7" ht="16.5" x14ac:dyDescent="0.25">
      <c r="A717" s="268"/>
      <c r="B717" s="249"/>
      <c r="C717" s="249"/>
      <c r="D717" s="249"/>
      <c r="E717" s="249"/>
      <c r="F717" s="249"/>
      <c r="G717" s="249"/>
    </row>
    <row r="718" spans="1:7" ht="16.5" x14ac:dyDescent="0.25">
      <c r="A718" s="248" t="s">
        <v>674</v>
      </c>
      <c r="B718" s="249"/>
      <c r="C718" s="249"/>
      <c r="D718" s="249"/>
      <c r="E718" s="249"/>
      <c r="F718" s="249" t="s">
        <v>655</v>
      </c>
      <c r="G718" s="250" t="s">
        <v>675</v>
      </c>
    </row>
    <row r="719" spans="1:7" ht="18" x14ac:dyDescent="0.25">
      <c r="A719" s="350" t="s">
        <v>676</v>
      </c>
      <c r="B719" s="350"/>
      <c r="C719" s="350"/>
      <c r="D719" s="350"/>
      <c r="E719" s="350"/>
      <c r="F719" s="350"/>
      <c r="G719" s="350"/>
    </row>
    <row r="720" spans="1:7" ht="15.75" x14ac:dyDescent="0.25">
      <c r="A720" s="252" t="s">
        <v>856</v>
      </c>
      <c r="B720" s="253"/>
      <c r="C720" s="253"/>
      <c r="D720" s="253"/>
      <c r="E720" s="253"/>
      <c r="F720" s="253"/>
      <c r="G720" s="253"/>
    </row>
    <row r="721" spans="1:7" ht="15.75" x14ac:dyDescent="0.25">
      <c r="A721" s="252"/>
      <c r="B721" s="253"/>
      <c r="C721" s="253"/>
      <c r="D721" s="253"/>
      <c r="E721" s="253"/>
      <c r="F721" s="253"/>
      <c r="G721" s="293"/>
    </row>
    <row r="722" spans="1:7" ht="15.75" x14ac:dyDescent="0.25">
      <c r="A722" s="351" t="s">
        <v>678</v>
      </c>
      <c r="B722" s="254" t="s">
        <v>679</v>
      </c>
      <c r="C722" s="254" t="s">
        <v>680</v>
      </c>
      <c r="D722" s="353" t="s">
        <v>681</v>
      </c>
      <c r="E722" s="354"/>
      <c r="F722" s="355"/>
      <c r="G722" s="254" t="s">
        <v>682</v>
      </c>
    </row>
    <row r="723" spans="1:7" ht="15.75" x14ac:dyDescent="0.25">
      <c r="A723" s="352"/>
      <c r="B723" s="255" t="s">
        <v>683</v>
      </c>
      <c r="C723" s="255" t="s">
        <v>684</v>
      </c>
      <c r="D723" s="255" t="s">
        <v>92</v>
      </c>
      <c r="E723" s="255" t="s">
        <v>93</v>
      </c>
      <c r="F723" s="356" t="s">
        <v>25</v>
      </c>
      <c r="G723" s="255" t="s">
        <v>454</v>
      </c>
    </row>
    <row r="724" spans="1:7" ht="15.75" x14ac:dyDescent="0.25">
      <c r="A724" s="352"/>
      <c r="B724" s="255"/>
      <c r="C724" s="255"/>
      <c r="D724" s="256" t="s">
        <v>684</v>
      </c>
      <c r="E724" s="256" t="s">
        <v>685</v>
      </c>
      <c r="F724" s="357"/>
      <c r="G724" s="255"/>
    </row>
    <row r="725" spans="1:7" ht="15.75" x14ac:dyDescent="0.25">
      <c r="A725" s="257" t="s">
        <v>686</v>
      </c>
      <c r="B725" s="258" t="s">
        <v>687</v>
      </c>
      <c r="C725" s="258" t="s">
        <v>688</v>
      </c>
      <c r="D725" s="259" t="s">
        <v>689</v>
      </c>
      <c r="E725" s="258" t="s">
        <v>690</v>
      </c>
      <c r="F725" s="258" t="s">
        <v>691</v>
      </c>
      <c r="G725" s="258" t="s">
        <v>692</v>
      </c>
    </row>
    <row r="726" spans="1:7" ht="15.75" x14ac:dyDescent="0.25">
      <c r="A726" s="260" t="s">
        <v>693</v>
      </c>
      <c r="B726" s="331"/>
      <c r="C726" s="261"/>
      <c r="D726" s="284"/>
      <c r="E726" s="284"/>
      <c r="F726" s="284"/>
      <c r="G726" s="284"/>
    </row>
    <row r="727" spans="1:7" ht="15.75" x14ac:dyDescent="0.25">
      <c r="A727" s="302" t="s">
        <v>784</v>
      </c>
      <c r="B727" s="283"/>
      <c r="C727" s="263"/>
      <c r="D727" s="284"/>
      <c r="E727" s="284"/>
      <c r="F727" s="284"/>
      <c r="G727" s="284"/>
    </row>
    <row r="728" spans="1:7" ht="15.75" x14ac:dyDescent="0.25">
      <c r="A728" s="262" t="s">
        <v>695</v>
      </c>
      <c r="B728" s="264" t="s">
        <v>505</v>
      </c>
      <c r="C728" s="274">
        <v>833830.5</v>
      </c>
      <c r="D728" s="274">
        <v>458352</v>
      </c>
      <c r="E728" s="274">
        <v>458352</v>
      </c>
      <c r="F728" s="274">
        <f>E728+D728</f>
        <v>916704</v>
      </c>
      <c r="G728" s="274">
        <v>1011108</v>
      </c>
    </row>
    <row r="729" spans="1:7" ht="15.75" x14ac:dyDescent="0.25">
      <c r="A729" s="262" t="s">
        <v>696</v>
      </c>
      <c r="B729" s="264" t="s">
        <v>521</v>
      </c>
      <c r="C729" s="274">
        <v>100059.66</v>
      </c>
      <c r="D729" s="274">
        <v>55002.239999999998</v>
      </c>
      <c r="E729" s="274">
        <v>55002.239999999998</v>
      </c>
      <c r="F729" s="274">
        <f t="shared" ref="F729:F747" si="14">E729+D729</f>
        <v>110004.48</v>
      </c>
      <c r="G729" s="274">
        <v>121332.96</v>
      </c>
    </row>
    <row r="730" spans="1:7" ht="15.75" x14ac:dyDescent="0.25">
      <c r="A730" s="262" t="s">
        <v>697</v>
      </c>
      <c r="B730" s="264" t="s">
        <v>527</v>
      </c>
      <c r="C730" s="274">
        <v>34475.800000000003</v>
      </c>
      <c r="D730" s="274">
        <v>22022.13</v>
      </c>
      <c r="E730" s="274">
        <v>45408.13</v>
      </c>
      <c r="F730" s="274">
        <f t="shared" si="14"/>
        <v>67430.259999999995</v>
      </c>
      <c r="G730" s="274">
        <v>121820.06</v>
      </c>
    </row>
    <row r="731" spans="1:7" ht="15.75" x14ac:dyDescent="0.25">
      <c r="A731" s="262" t="s">
        <v>698</v>
      </c>
      <c r="B731" s="264" t="s">
        <v>508</v>
      </c>
      <c r="C731" s="274">
        <v>96000</v>
      </c>
      <c r="D731" s="274">
        <v>48000</v>
      </c>
      <c r="E731" s="274">
        <v>48000</v>
      </c>
      <c r="F731" s="274">
        <f t="shared" si="14"/>
        <v>96000</v>
      </c>
      <c r="G731" s="274">
        <v>96000</v>
      </c>
    </row>
    <row r="732" spans="1:7" ht="15.75" x14ac:dyDescent="0.25">
      <c r="A732" s="262" t="s">
        <v>699</v>
      </c>
      <c r="B732" s="264" t="s">
        <v>664</v>
      </c>
      <c r="C732" s="274">
        <v>20000</v>
      </c>
      <c r="D732" s="274">
        <v>0</v>
      </c>
      <c r="E732" s="274">
        <v>0</v>
      </c>
      <c r="F732" s="274">
        <f t="shared" si="14"/>
        <v>0</v>
      </c>
      <c r="G732" s="274">
        <v>0</v>
      </c>
    </row>
    <row r="733" spans="1:7" ht="15.75" x14ac:dyDescent="0.25">
      <c r="A733" s="262" t="s">
        <v>700</v>
      </c>
      <c r="B733" s="264" t="s">
        <v>522</v>
      </c>
      <c r="C733" s="274">
        <v>16676.61</v>
      </c>
      <c r="D733" s="274">
        <v>9167.0400000000009</v>
      </c>
      <c r="E733" s="274">
        <v>9167.0400000000009</v>
      </c>
      <c r="F733" s="274">
        <f t="shared" si="14"/>
        <v>18334.080000000002</v>
      </c>
      <c r="G733" s="274">
        <v>20222.16</v>
      </c>
    </row>
    <row r="734" spans="1:7" ht="15.75" x14ac:dyDescent="0.25">
      <c r="A734" s="262" t="s">
        <v>701</v>
      </c>
      <c r="B734" s="264" t="s">
        <v>523</v>
      </c>
      <c r="C734" s="274">
        <v>9450</v>
      </c>
      <c r="D734" s="274">
        <v>4800</v>
      </c>
      <c r="E734" s="274">
        <v>5100</v>
      </c>
      <c r="F734" s="274">
        <f t="shared" si="14"/>
        <v>9900</v>
      </c>
      <c r="G734" s="274">
        <v>9900</v>
      </c>
    </row>
    <row r="735" spans="1:7" ht="15.75" x14ac:dyDescent="0.25">
      <c r="A735" s="262" t="s">
        <v>702</v>
      </c>
      <c r="B735" s="264" t="s">
        <v>524</v>
      </c>
      <c r="C735" s="274">
        <v>4587.28</v>
      </c>
      <c r="D735" s="274">
        <v>2331.4499999999998</v>
      </c>
      <c r="E735" s="274">
        <v>6805.99</v>
      </c>
      <c r="F735" s="274">
        <f t="shared" si="14"/>
        <v>9137.4399999999987</v>
      </c>
      <c r="G735" s="274">
        <v>10111.08</v>
      </c>
    </row>
    <row r="736" spans="1:7" ht="15.75" x14ac:dyDescent="0.25">
      <c r="A736" s="262" t="s">
        <v>785</v>
      </c>
      <c r="B736" s="264" t="s">
        <v>704</v>
      </c>
      <c r="C736" s="274">
        <v>0</v>
      </c>
      <c r="D736" s="274">
        <v>76392</v>
      </c>
      <c r="E736" s="274">
        <v>-2</v>
      </c>
      <c r="F736" s="274">
        <f t="shared" si="14"/>
        <v>76390</v>
      </c>
      <c r="G736" s="274">
        <v>84259</v>
      </c>
    </row>
    <row r="737" spans="1:7" ht="15.75" x14ac:dyDescent="0.25">
      <c r="A737" s="262" t="s">
        <v>705</v>
      </c>
      <c r="B737" s="264" t="s">
        <v>704</v>
      </c>
      <c r="C737" s="274">
        <v>69513</v>
      </c>
      <c r="D737" s="274">
        <v>0</v>
      </c>
      <c r="E737" s="274">
        <v>76392</v>
      </c>
      <c r="F737" s="274">
        <f t="shared" si="14"/>
        <v>76392</v>
      </c>
      <c r="G737" s="274">
        <v>84259</v>
      </c>
    </row>
    <row r="738" spans="1:7" ht="15.75" x14ac:dyDescent="0.25">
      <c r="A738" s="262" t="s">
        <v>706</v>
      </c>
      <c r="B738" s="264" t="s">
        <v>707</v>
      </c>
      <c r="C738" s="274">
        <v>20000</v>
      </c>
      <c r="D738" s="274">
        <v>10000</v>
      </c>
      <c r="E738" s="274">
        <v>10000</v>
      </c>
      <c r="F738" s="274">
        <f t="shared" si="14"/>
        <v>20000</v>
      </c>
      <c r="G738" s="274">
        <v>20000</v>
      </c>
    </row>
    <row r="739" spans="1:7" ht="15.75" x14ac:dyDescent="0.25">
      <c r="A739" s="262" t="s">
        <v>786</v>
      </c>
      <c r="B739" s="264" t="s">
        <v>709</v>
      </c>
      <c r="C739" s="274">
        <v>67500</v>
      </c>
      <c r="D739" s="274">
        <v>33750</v>
      </c>
      <c r="E739" s="274">
        <v>33750</v>
      </c>
      <c r="F739" s="274">
        <f t="shared" si="14"/>
        <v>67500</v>
      </c>
      <c r="G739" s="274">
        <v>67500</v>
      </c>
    </row>
    <row r="740" spans="1:7" ht="15.75" x14ac:dyDescent="0.25">
      <c r="A740" s="262" t="s">
        <v>787</v>
      </c>
      <c r="B740" s="264" t="s">
        <v>510</v>
      </c>
      <c r="C740" s="48">
        <v>67500</v>
      </c>
      <c r="D740" s="274">
        <v>33750</v>
      </c>
      <c r="E740" s="274">
        <v>33750</v>
      </c>
      <c r="F740" s="274">
        <f t="shared" si="14"/>
        <v>67500</v>
      </c>
      <c r="G740" s="274">
        <v>67500</v>
      </c>
    </row>
    <row r="741" spans="1:7" ht="15.75" x14ac:dyDescent="0.25">
      <c r="A741" s="262" t="s">
        <v>788</v>
      </c>
      <c r="B741" s="264" t="s">
        <v>712</v>
      </c>
      <c r="C741" s="48">
        <v>20000</v>
      </c>
      <c r="D741" s="274">
        <v>20000</v>
      </c>
      <c r="E741" s="274">
        <v>0</v>
      </c>
      <c r="F741" s="274">
        <f t="shared" si="14"/>
        <v>20000</v>
      </c>
      <c r="G741" s="274">
        <v>20000</v>
      </c>
    </row>
    <row r="742" spans="1:7" ht="15.75" x14ac:dyDescent="0.25">
      <c r="A742" s="262" t="s">
        <v>713</v>
      </c>
      <c r="B742" s="264" t="s">
        <v>789</v>
      </c>
      <c r="C742" s="48">
        <v>0</v>
      </c>
      <c r="D742" s="274"/>
      <c r="E742" s="274"/>
      <c r="F742" s="274">
        <f t="shared" si="14"/>
        <v>0</v>
      </c>
      <c r="G742" s="274">
        <v>5000</v>
      </c>
    </row>
    <row r="743" spans="1:7" ht="15.75" x14ac:dyDescent="0.25">
      <c r="A743" s="290" t="s">
        <v>714</v>
      </c>
      <c r="B743" s="264" t="s">
        <v>513</v>
      </c>
      <c r="C743" s="48">
        <v>14400</v>
      </c>
      <c r="D743" s="274">
        <v>7200</v>
      </c>
      <c r="E743" s="274">
        <v>7200</v>
      </c>
      <c r="F743" s="274">
        <f t="shared" si="14"/>
        <v>14400</v>
      </c>
      <c r="G743" s="274">
        <v>14400</v>
      </c>
    </row>
    <row r="744" spans="1:7" ht="15.75" x14ac:dyDescent="0.25">
      <c r="A744" s="262" t="s">
        <v>717</v>
      </c>
      <c r="B744" s="264" t="s">
        <v>527</v>
      </c>
      <c r="C744" s="263">
        <v>20000</v>
      </c>
      <c r="D744" s="284">
        <v>0</v>
      </c>
      <c r="E744" s="284">
        <v>20000</v>
      </c>
      <c r="F744" s="274">
        <f t="shared" si="14"/>
        <v>20000</v>
      </c>
      <c r="G744" s="274">
        <v>0</v>
      </c>
    </row>
    <row r="745" spans="1:7" ht="15.75" x14ac:dyDescent="0.25">
      <c r="A745" s="262" t="s">
        <v>829</v>
      </c>
      <c r="B745" s="264" t="s">
        <v>527</v>
      </c>
      <c r="C745" s="274">
        <v>0</v>
      </c>
      <c r="D745" s="274">
        <v>8000</v>
      </c>
      <c r="E745" s="274">
        <v>0</v>
      </c>
      <c r="F745" s="274">
        <f t="shared" si="14"/>
        <v>8000</v>
      </c>
      <c r="G745" s="274">
        <v>0</v>
      </c>
    </row>
    <row r="746" spans="1:7" ht="15.75" x14ac:dyDescent="0.25">
      <c r="A746" s="262" t="s">
        <v>721</v>
      </c>
      <c r="B746" s="264" t="s">
        <v>719</v>
      </c>
      <c r="C746" s="263">
        <v>69513</v>
      </c>
      <c r="D746" s="284">
        <v>0</v>
      </c>
      <c r="E746" s="284">
        <v>20000</v>
      </c>
      <c r="F746" s="274">
        <f t="shared" si="14"/>
        <v>20000</v>
      </c>
      <c r="G746" s="274">
        <v>20000</v>
      </c>
    </row>
    <row r="747" spans="1:7" ht="15.75" x14ac:dyDescent="0.25">
      <c r="A747" s="262" t="s">
        <v>718</v>
      </c>
      <c r="B747" s="264" t="s">
        <v>527</v>
      </c>
      <c r="C747" s="263">
        <v>0</v>
      </c>
      <c r="D747" s="284"/>
      <c r="E747" s="284"/>
      <c r="F747" s="274">
        <f t="shared" si="14"/>
        <v>0</v>
      </c>
      <c r="G747" s="274">
        <v>271000</v>
      </c>
    </row>
    <row r="748" spans="1:7" ht="15.75" x14ac:dyDescent="0.25">
      <c r="A748" s="265" t="s">
        <v>722</v>
      </c>
      <c r="B748" s="276"/>
      <c r="C748" s="304">
        <f>SUM(C726:C747)</f>
        <v>1463505.85</v>
      </c>
      <c r="D748" s="304">
        <f>SUM(D726:D747)</f>
        <v>788766.86</v>
      </c>
      <c r="E748" s="304">
        <f>SUM(E726:E747)</f>
        <v>828925.4</v>
      </c>
      <c r="F748" s="304">
        <f>SUM(F726:F747)</f>
        <v>1617692.26</v>
      </c>
      <c r="G748" s="304">
        <f>SUM(G726:G747)</f>
        <v>2044412.26</v>
      </c>
    </row>
    <row r="749" spans="1:7" ht="15.75" x14ac:dyDescent="0.25">
      <c r="A749" s="252"/>
      <c r="B749" s="253"/>
      <c r="C749" s="253"/>
      <c r="D749" s="253"/>
      <c r="E749" s="253"/>
      <c r="F749" s="253"/>
      <c r="G749" s="253"/>
    </row>
    <row r="750" spans="1:7" ht="15.75" x14ac:dyDescent="0.25">
      <c r="A750" s="252"/>
      <c r="B750" s="253"/>
      <c r="C750" s="253"/>
      <c r="D750" s="253"/>
      <c r="E750" s="253"/>
      <c r="F750" s="253"/>
      <c r="G750" s="269" t="s">
        <v>857</v>
      </c>
    </row>
    <row r="751" spans="1:7" ht="15.75" x14ac:dyDescent="0.25">
      <c r="A751" s="252"/>
      <c r="B751" s="253"/>
      <c r="C751" s="253"/>
      <c r="D751" s="253"/>
      <c r="E751" s="253"/>
      <c r="F751" s="253"/>
      <c r="G751" s="269"/>
    </row>
    <row r="752" spans="1:7" ht="16.5" x14ac:dyDescent="0.25">
      <c r="A752" s="248" t="s">
        <v>674</v>
      </c>
      <c r="B752" s="249"/>
      <c r="C752" s="249"/>
      <c r="D752" s="249"/>
      <c r="E752" s="249"/>
      <c r="F752" s="249" t="s">
        <v>655</v>
      </c>
      <c r="G752" s="250" t="s">
        <v>675</v>
      </c>
    </row>
    <row r="753" spans="1:7" ht="18" x14ac:dyDescent="0.25">
      <c r="A753" s="350" t="s">
        <v>858</v>
      </c>
      <c r="B753" s="350"/>
      <c r="C753" s="350"/>
      <c r="D753" s="350"/>
      <c r="E753" s="350"/>
      <c r="F753" s="350"/>
      <c r="G753" s="350"/>
    </row>
    <row r="754" spans="1:7" ht="16.5" x14ac:dyDescent="0.25">
      <c r="A754" s="325"/>
      <c r="B754" s="325"/>
      <c r="C754" s="325"/>
      <c r="D754" s="325"/>
      <c r="E754" s="325"/>
      <c r="F754" s="325"/>
      <c r="G754" s="325"/>
    </row>
    <row r="755" spans="1:7" ht="15.75" x14ac:dyDescent="0.25">
      <c r="A755" s="252" t="s">
        <v>859</v>
      </c>
      <c r="B755" s="253"/>
      <c r="C755" s="253"/>
      <c r="D755" s="253"/>
      <c r="E755" s="253"/>
      <c r="F755" s="253"/>
      <c r="G755" s="253"/>
    </row>
    <row r="756" spans="1:7" ht="15.75" x14ac:dyDescent="0.25">
      <c r="A756" s="252" t="s">
        <v>655</v>
      </c>
      <c r="B756" s="253"/>
      <c r="C756" s="253"/>
      <c r="D756" s="253"/>
      <c r="E756" s="253"/>
      <c r="F756" s="253"/>
      <c r="G756" s="281"/>
    </row>
    <row r="757" spans="1:7" ht="15.75" x14ac:dyDescent="0.25">
      <c r="A757" s="351" t="s">
        <v>678</v>
      </c>
      <c r="B757" s="254" t="s">
        <v>679</v>
      </c>
      <c r="C757" s="254" t="s">
        <v>680</v>
      </c>
      <c r="D757" s="353" t="s">
        <v>681</v>
      </c>
      <c r="E757" s="354"/>
      <c r="F757" s="355"/>
      <c r="G757" s="254" t="s">
        <v>682</v>
      </c>
    </row>
    <row r="758" spans="1:7" ht="15.75" x14ac:dyDescent="0.25">
      <c r="A758" s="352"/>
      <c r="B758" s="255" t="s">
        <v>683</v>
      </c>
      <c r="C758" s="255" t="s">
        <v>684</v>
      </c>
      <c r="D758" s="255" t="s">
        <v>92</v>
      </c>
      <c r="E758" s="255" t="s">
        <v>93</v>
      </c>
      <c r="F758" s="356" t="s">
        <v>25</v>
      </c>
      <c r="G758" s="255" t="s">
        <v>454</v>
      </c>
    </row>
    <row r="759" spans="1:7" ht="15.75" x14ac:dyDescent="0.25">
      <c r="A759" s="352"/>
      <c r="B759" s="255"/>
      <c r="C759" s="255"/>
      <c r="D759" s="256" t="s">
        <v>684</v>
      </c>
      <c r="E759" s="256" t="s">
        <v>685</v>
      </c>
      <c r="F759" s="357"/>
      <c r="G759" s="255"/>
    </row>
    <row r="760" spans="1:7" ht="15.75" x14ac:dyDescent="0.25">
      <c r="A760" s="257" t="s">
        <v>686</v>
      </c>
      <c r="B760" s="258" t="s">
        <v>687</v>
      </c>
      <c r="C760" s="258" t="s">
        <v>688</v>
      </c>
      <c r="D760" s="259" t="s">
        <v>689</v>
      </c>
      <c r="E760" s="258" t="s">
        <v>690</v>
      </c>
      <c r="F760" s="258" t="s">
        <v>691</v>
      </c>
      <c r="G760" s="258" t="s">
        <v>692</v>
      </c>
    </row>
    <row r="761" spans="1:7" ht="31.5" x14ac:dyDescent="0.25">
      <c r="A761" s="323" t="s">
        <v>793</v>
      </c>
      <c r="B761" s="261"/>
      <c r="C761" s="261" t="s">
        <v>655</v>
      </c>
      <c r="D761" s="284"/>
      <c r="E761" s="284"/>
      <c r="F761" s="284"/>
      <c r="G761" s="284"/>
    </row>
    <row r="762" spans="1:7" ht="15.75" x14ac:dyDescent="0.25">
      <c r="A762" s="262" t="s">
        <v>724</v>
      </c>
      <c r="B762" s="264" t="s">
        <v>505</v>
      </c>
      <c r="C762" s="274">
        <v>75263.33</v>
      </c>
      <c r="D762" s="274">
        <v>32817</v>
      </c>
      <c r="E762" s="274">
        <v>27466</v>
      </c>
      <c r="F762" s="274">
        <f>SUM(D762:E762)</f>
        <v>60283</v>
      </c>
      <c r="G762" s="274">
        <v>60283</v>
      </c>
    </row>
    <row r="763" spans="1:7" ht="15.75" x14ac:dyDescent="0.25">
      <c r="A763" s="262" t="s">
        <v>725</v>
      </c>
      <c r="B763" s="264" t="s">
        <v>532</v>
      </c>
      <c r="C763" s="274">
        <v>20324.64</v>
      </c>
      <c r="D763" s="274">
        <v>18408.849999999999</v>
      </c>
      <c r="E763" s="274">
        <v>11591.15</v>
      </c>
      <c r="F763" s="274">
        <f>SUM(D763:E763)</f>
        <v>30000</v>
      </c>
      <c r="G763" s="274">
        <v>30000</v>
      </c>
    </row>
    <row r="764" spans="1:7" ht="15.75" x14ac:dyDescent="0.25">
      <c r="A764" s="262" t="s">
        <v>730</v>
      </c>
      <c r="B764" s="264" t="s">
        <v>568</v>
      </c>
      <c r="C764" s="274">
        <v>3600</v>
      </c>
      <c r="D764" s="274">
        <v>0</v>
      </c>
      <c r="E764" s="274">
        <v>15000</v>
      </c>
      <c r="F764" s="274">
        <f>SUM(D764:E764)</f>
        <v>15000</v>
      </c>
      <c r="G764" s="274">
        <v>15000</v>
      </c>
    </row>
    <row r="765" spans="1:7" ht="15.75" x14ac:dyDescent="0.25">
      <c r="A765" s="262" t="s">
        <v>729</v>
      </c>
      <c r="B765" s="264" t="s">
        <v>529</v>
      </c>
      <c r="C765" s="274">
        <v>25122</v>
      </c>
      <c r="D765" s="274">
        <v>12720</v>
      </c>
      <c r="E765" s="274">
        <v>13280</v>
      </c>
      <c r="F765" s="274">
        <f>SUM(D765:E765)</f>
        <v>26000</v>
      </c>
      <c r="G765" s="274">
        <v>26000</v>
      </c>
    </row>
    <row r="766" spans="1:7" ht="15.75" x14ac:dyDescent="0.25">
      <c r="A766" s="262" t="s">
        <v>860</v>
      </c>
      <c r="B766" s="264"/>
      <c r="C766" s="274"/>
      <c r="D766" s="274"/>
      <c r="E766" s="274"/>
      <c r="F766" s="274"/>
      <c r="G766" s="274"/>
    </row>
    <row r="767" spans="1:7" ht="15.75" x14ac:dyDescent="0.25">
      <c r="A767" s="262" t="s">
        <v>861</v>
      </c>
      <c r="B767" s="264" t="s">
        <v>547</v>
      </c>
      <c r="C767" s="274">
        <v>0</v>
      </c>
      <c r="D767" s="274">
        <v>0</v>
      </c>
      <c r="E767" s="274">
        <v>121000</v>
      </c>
      <c r="F767" s="274"/>
      <c r="G767" s="274"/>
    </row>
    <row r="768" spans="1:7" ht="15.75" x14ac:dyDescent="0.25">
      <c r="A768" s="294" t="s">
        <v>281</v>
      </c>
      <c r="B768" s="264" t="s">
        <v>655</v>
      </c>
      <c r="C768" s="312">
        <f>SUM(C762:C767)</f>
        <v>124309.97</v>
      </c>
      <c r="D768" s="312">
        <f>SUM(D762:D767)</f>
        <v>63945.85</v>
      </c>
      <c r="E768" s="312">
        <f>SUM(E762:E767)</f>
        <v>188337.15</v>
      </c>
      <c r="F768" s="312">
        <f>SUM(F762:F767)</f>
        <v>131283</v>
      </c>
      <c r="G768" s="312">
        <f>SUM(G762:G767)</f>
        <v>131283</v>
      </c>
    </row>
    <row r="769" spans="1:7" ht="15.75" x14ac:dyDescent="0.25">
      <c r="A769" s="262"/>
      <c r="B769" s="263"/>
      <c r="C769" s="284"/>
      <c r="D769" s="284"/>
      <c r="E769" s="284"/>
      <c r="F769" s="48"/>
      <c r="G769" s="274"/>
    </row>
    <row r="770" spans="1:7" ht="15.75" x14ac:dyDescent="0.25">
      <c r="A770" s="302" t="s">
        <v>796</v>
      </c>
      <c r="B770" s="263"/>
      <c r="C770" s="284"/>
      <c r="D770" s="284"/>
      <c r="E770" s="284"/>
      <c r="F770" s="48"/>
      <c r="G770" s="274"/>
    </row>
    <row r="771" spans="1:7" ht="15.75" x14ac:dyDescent="0.25">
      <c r="A771" s="262" t="s">
        <v>655</v>
      </c>
      <c r="B771" s="263"/>
      <c r="C771" s="284"/>
      <c r="D771" s="284"/>
      <c r="E771" s="284"/>
      <c r="F771" s="48" t="s">
        <v>655</v>
      </c>
      <c r="G771" s="274"/>
    </row>
    <row r="772" spans="1:7" ht="15.75" x14ac:dyDescent="0.25">
      <c r="A772" s="294" t="s">
        <v>282</v>
      </c>
      <c r="B772" s="263"/>
      <c r="C772" s="333"/>
      <c r="D772" s="333"/>
      <c r="E772" s="333"/>
      <c r="F772" s="312">
        <f>SUM(F771:F771)</f>
        <v>0</v>
      </c>
      <c r="G772" s="332"/>
    </row>
    <row r="773" spans="1:7" ht="15.75" x14ac:dyDescent="0.25">
      <c r="A773" s="262"/>
      <c r="B773" s="263"/>
      <c r="C773" s="48"/>
      <c r="D773" s="48"/>
      <c r="E773" s="48"/>
      <c r="F773" s="48"/>
      <c r="G773" s="274"/>
    </row>
    <row r="774" spans="1:7" ht="15.75" x14ac:dyDescent="0.25">
      <c r="A774" s="265" t="s">
        <v>279</v>
      </c>
      <c r="B774" s="313"/>
      <c r="C774" s="304">
        <f>C748+C768+C772</f>
        <v>1587815.82</v>
      </c>
      <c r="D774" s="304">
        <f>D748+D768+D772</f>
        <v>852712.71</v>
      </c>
      <c r="E774" s="304">
        <f>E748+E768+E772</f>
        <v>1017262.55</v>
      </c>
      <c r="F774" s="304">
        <f>F748+F768+F772</f>
        <v>1748975.26</v>
      </c>
      <c r="G774" s="304">
        <f>G748+G768+G772</f>
        <v>2175695.2599999998</v>
      </c>
    </row>
    <row r="775" spans="1:7" ht="15.75" x14ac:dyDescent="0.25">
      <c r="A775" s="252"/>
      <c r="B775" s="253"/>
      <c r="C775" s="253"/>
      <c r="D775" s="253"/>
      <c r="E775" s="253"/>
      <c r="F775" s="253"/>
      <c r="G775" s="253"/>
    </row>
    <row r="776" spans="1:7" ht="16.5" x14ac:dyDescent="0.25">
      <c r="A776" s="252" t="s">
        <v>798</v>
      </c>
      <c r="B776" s="253" t="s">
        <v>799</v>
      </c>
      <c r="C776" s="253"/>
      <c r="D776" s="253"/>
      <c r="E776" s="253" t="s">
        <v>651</v>
      </c>
      <c r="F776" s="314"/>
      <c r="G776" s="253"/>
    </row>
    <row r="777" spans="1:7" ht="16.5" x14ac:dyDescent="0.25">
      <c r="A777" s="252"/>
      <c r="B777" s="253"/>
      <c r="C777" s="253"/>
      <c r="D777" s="253"/>
      <c r="E777" s="253"/>
      <c r="F777" s="314"/>
      <c r="G777" s="253"/>
    </row>
    <row r="778" spans="1:7" ht="15.75" x14ac:dyDescent="0.25">
      <c r="A778" s="252"/>
      <c r="B778" s="253"/>
      <c r="C778" s="253"/>
      <c r="D778" s="253"/>
      <c r="E778" s="253"/>
      <c r="F778" s="253"/>
      <c r="G778" s="253"/>
    </row>
    <row r="779" spans="1:7" ht="15.75" x14ac:dyDescent="0.25">
      <c r="A779" s="296" t="s">
        <v>862</v>
      </c>
      <c r="B779" s="359" t="s">
        <v>800</v>
      </c>
      <c r="C779" s="359"/>
      <c r="D779" s="359"/>
      <c r="E779" s="359" t="s">
        <v>778</v>
      </c>
      <c r="F779" s="359"/>
      <c r="G779" s="359"/>
    </row>
    <row r="780" spans="1:7" ht="15.75" x14ac:dyDescent="0.25">
      <c r="A780" s="298" t="s">
        <v>863</v>
      </c>
      <c r="B780" s="360" t="s">
        <v>780</v>
      </c>
      <c r="C780" s="360"/>
      <c r="D780" s="360"/>
      <c r="E780" s="360" t="s">
        <v>802</v>
      </c>
      <c r="F780" s="360"/>
      <c r="G780" s="360"/>
    </row>
    <row r="781" spans="1:7" ht="16.5" x14ac:dyDescent="0.25">
      <c r="A781" s="268"/>
      <c r="B781" s="249"/>
      <c r="C781" s="249"/>
      <c r="D781" s="249"/>
      <c r="E781" s="249"/>
      <c r="F781" s="249"/>
      <c r="G781" s="249"/>
    </row>
    <row r="782" spans="1:7" ht="16.5" x14ac:dyDescent="0.25">
      <c r="A782" s="268"/>
      <c r="B782" s="249"/>
      <c r="C782" s="249"/>
      <c r="D782" s="249"/>
      <c r="E782" s="249"/>
      <c r="F782" s="249"/>
      <c r="G782" s="269" t="s">
        <v>864</v>
      </c>
    </row>
    <row r="783" spans="1:7" ht="16.5" x14ac:dyDescent="0.25">
      <c r="A783" s="268"/>
      <c r="B783" s="249"/>
      <c r="C783" s="249"/>
      <c r="D783" s="249"/>
      <c r="E783" s="249"/>
      <c r="F783" s="249"/>
      <c r="G783" s="249"/>
    </row>
    <row r="784" spans="1:7" ht="16.5" x14ac:dyDescent="0.25">
      <c r="A784" s="268"/>
      <c r="B784" s="249"/>
      <c r="C784" s="249"/>
      <c r="D784" s="249"/>
      <c r="E784" s="249"/>
      <c r="F784" s="249"/>
      <c r="G784" s="249"/>
    </row>
    <row r="785" spans="1:7" ht="16.5" x14ac:dyDescent="0.25">
      <c r="A785" s="268"/>
      <c r="B785" s="249"/>
      <c r="C785" s="249"/>
      <c r="D785" s="249"/>
      <c r="E785" s="249"/>
      <c r="F785" s="249"/>
      <c r="G785" s="249"/>
    </row>
    <row r="786" spans="1:7" ht="16.5" x14ac:dyDescent="0.25">
      <c r="A786" s="248" t="s">
        <v>674</v>
      </c>
      <c r="B786" s="249"/>
      <c r="C786" s="249"/>
      <c r="D786" s="249"/>
      <c r="E786" s="249"/>
      <c r="F786" s="249" t="s">
        <v>655</v>
      </c>
      <c r="G786" s="250" t="s">
        <v>675</v>
      </c>
    </row>
    <row r="787" spans="1:7" ht="18" x14ac:dyDescent="0.25">
      <c r="A787" s="350" t="s">
        <v>676</v>
      </c>
      <c r="B787" s="350"/>
      <c r="C787" s="350"/>
      <c r="D787" s="350"/>
      <c r="E787" s="350"/>
      <c r="F787" s="350"/>
      <c r="G787" s="350"/>
    </row>
    <row r="788" spans="1:7" ht="16.5" x14ac:dyDescent="0.25">
      <c r="A788" s="361"/>
      <c r="B788" s="361"/>
      <c r="C788" s="361"/>
      <c r="D788" s="361"/>
      <c r="E788" s="361"/>
      <c r="F788" s="361"/>
      <c r="G788" s="361"/>
    </row>
    <row r="789" spans="1:7" ht="16.5" x14ac:dyDescent="0.25">
      <c r="A789" s="335" t="s">
        <v>865</v>
      </c>
      <c r="B789" s="249"/>
      <c r="C789" s="249"/>
      <c r="D789" s="249"/>
      <c r="E789" s="249"/>
      <c r="F789" s="336"/>
      <c r="G789" s="336"/>
    </row>
    <row r="790" spans="1:7" ht="15.75" x14ac:dyDescent="0.25">
      <c r="A790" s="43" t="s">
        <v>655</v>
      </c>
      <c r="B790" s="293"/>
      <c r="C790" s="293"/>
      <c r="D790" s="293"/>
      <c r="E790" s="293"/>
      <c r="F790" s="293"/>
      <c r="G790" s="293"/>
    </row>
    <row r="791" spans="1:7" ht="15.75" x14ac:dyDescent="0.25">
      <c r="A791" s="351" t="s">
        <v>678</v>
      </c>
      <c r="B791" s="254" t="s">
        <v>679</v>
      </c>
      <c r="C791" s="254" t="s">
        <v>680</v>
      </c>
      <c r="D791" s="353" t="s">
        <v>681</v>
      </c>
      <c r="E791" s="354"/>
      <c r="F791" s="355"/>
      <c r="G791" s="254" t="s">
        <v>682</v>
      </c>
    </row>
    <row r="792" spans="1:7" ht="15.75" x14ac:dyDescent="0.25">
      <c r="A792" s="352"/>
      <c r="B792" s="255" t="s">
        <v>683</v>
      </c>
      <c r="C792" s="255" t="s">
        <v>684</v>
      </c>
      <c r="D792" s="255" t="s">
        <v>92</v>
      </c>
      <c r="E792" s="255" t="s">
        <v>93</v>
      </c>
      <c r="F792" s="356" t="s">
        <v>25</v>
      </c>
      <c r="G792" s="255" t="s">
        <v>454</v>
      </c>
    </row>
    <row r="793" spans="1:7" ht="15.75" x14ac:dyDescent="0.25">
      <c r="A793" s="352"/>
      <c r="B793" s="255"/>
      <c r="C793" s="255"/>
      <c r="D793" s="256" t="s">
        <v>684</v>
      </c>
      <c r="E793" s="256" t="s">
        <v>685</v>
      </c>
      <c r="F793" s="357"/>
      <c r="G793" s="255"/>
    </row>
    <row r="794" spans="1:7" ht="15.75" x14ac:dyDescent="0.25">
      <c r="A794" s="308" t="s">
        <v>686</v>
      </c>
      <c r="B794" s="258" t="s">
        <v>687</v>
      </c>
      <c r="C794" s="258" t="s">
        <v>688</v>
      </c>
      <c r="D794" s="259" t="s">
        <v>689</v>
      </c>
      <c r="E794" s="258" t="s">
        <v>690</v>
      </c>
      <c r="F794" s="258" t="s">
        <v>691</v>
      </c>
      <c r="G794" s="258" t="s">
        <v>692</v>
      </c>
    </row>
    <row r="795" spans="1:7" ht="15.75" x14ac:dyDescent="0.25">
      <c r="A795" s="260" t="s">
        <v>693</v>
      </c>
      <c r="B795" s="331"/>
      <c r="C795" s="261"/>
      <c r="D795" s="261"/>
      <c r="E795" s="261"/>
      <c r="F795" s="261"/>
      <c r="G795" s="284"/>
    </row>
    <row r="796" spans="1:7" ht="15.75" x14ac:dyDescent="0.25">
      <c r="A796" s="302" t="s">
        <v>784</v>
      </c>
      <c r="B796" s="283"/>
      <c r="C796" s="263"/>
      <c r="D796" s="263"/>
      <c r="E796" s="263"/>
      <c r="F796" s="263"/>
      <c r="G796" s="284"/>
    </row>
    <row r="797" spans="1:7" ht="15.75" x14ac:dyDescent="0.25">
      <c r="A797" s="262" t="s">
        <v>695</v>
      </c>
      <c r="B797" s="264" t="s">
        <v>505</v>
      </c>
      <c r="C797" s="274">
        <v>1130469.6399999999</v>
      </c>
      <c r="D797" s="274">
        <v>609804</v>
      </c>
      <c r="E797" s="274">
        <v>609804</v>
      </c>
      <c r="F797" s="274">
        <f>E797+D797</f>
        <v>1219608</v>
      </c>
      <c r="G797" s="274">
        <v>1481112</v>
      </c>
    </row>
    <row r="798" spans="1:7" ht="15.75" x14ac:dyDescent="0.25">
      <c r="A798" s="262" t="s">
        <v>696</v>
      </c>
      <c r="B798" s="264" t="s">
        <v>521</v>
      </c>
      <c r="C798" s="274">
        <v>135656.35999999999</v>
      </c>
      <c r="D798" s="274">
        <v>73176.479999999996</v>
      </c>
      <c r="E798" s="274">
        <v>73176.479999999996</v>
      </c>
      <c r="F798" s="274">
        <f t="shared" ref="F798:F814" si="15">E798+D798</f>
        <v>146352.95999999999</v>
      </c>
      <c r="G798" s="274">
        <v>177733.44</v>
      </c>
    </row>
    <row r="799" spans="1:7" ht="15.75" x14ac:dyDescent="0.25">
      <c r="A799" s="262" t="s">
        <v>697</v>
      </c>
      <c r="B799" s="264" t="s">
        <v>527</v>
      </c>
      <c r="C799" s="274">
        <v>0</v>
      </c>
      <c r="D799" s="274">
        <v>24979.03</v>
      </c>
      <c r="E799" s="274">
        <v>32451.23</v>
      </c>
      <c r="F799" s="274">
        <f t="shared" si="15"/>
        <v>57430.259999999995</v>
      </c>
      <c r="G799" s="274">
        <v>178446.97</v>
      </c>
    </row>
    <row r="800" spans="1:7" ht="15.75" x14ac:dyDescent="0.25">
      <c r="A800" s="262" t="s">
        <v>698</v>
      </c>
      <c r="B800" s="264" t="s">
        <v>508</v>
      </c>
      <c r="C800" s="274">
        <v>120000</v>
      </c>
      <c r="D800" s="274">
        <v>60000</v>
      </c>
      <c r="E800" s="274">
        <v>60000</v>
      </c>
      <c r="F800" s="274">
        <f t="shared" si="15"/>
        <v>120000</v>
      </c>
      <c r="G800" s="274">
        <v>144000</v>
      </c>
    </row>
    <row r="801" spans="1:7" ht="15.75" x14ac:dyDescent="0.25">
      <c r="A801" s="262" t="s">
        <v>699</v>
      </c>
      <c r="B801" s="264" t="s">
        <v>664</v>
      </c>
      <c r="C801" s="274">
        <v>25000</v>
      </c>
      <c r="D801" s="274">
        <v>0</v>
      </c>
      <c r="E801" s="274">
        <v>0</v>
      </c>
      <c r="F801" s="274">
        <f t="shared" si="15"/>
        <v>0</v>
      </c>
      <c r="G801" s="274">
        <v>0</v>
      </c>
    </row>
    <row r="802" spans="1:7" ht="15.75" x14ac:dyDescent="0.25">
      <c r="A802" s="262" t="s">
        <v>700</v>
      </c>
      <c r="B802" s="264" t="s">
        <v>522</v>
      </c>
      <c r="C802" s="274">
        <v>22609.39</v>
      </c>
      <c r="D802" s="274">
        <v>12196.08</v>
      </c>
      <c r="E802" s="274">
        <v>12196.08</v>
      </c>
      <c r="F802" s="274">
        <f t="shared" si="15"/>
        <v>24392.16</v>
      </c>
      <c r="G802" s="274">
        <v>29622.240000000002</v>
      </c>
    </row>
    <row r="803" spans="1:7" ht="15.75" x14ac:dyDescent="0.25">
      <c r="A803" s="262" t="s">
        <v>701</v>
      </c>
      <c r="B803" s="264" t="s">
        <v>523</v>
      </c>
      <c r="C803" s="274">
        <v>12962.5</v>
      </c>
      <c r="D803" s="274">
        <v>6750</v>
      </c>
      <c r="E803" s="274">
        <v>6900</v>
      </c>
      <c r="F803" s="274">
        <f t="shared" si="15"/>
        <v>13650</v>
      </c>
      <c r="G803" s="274">
        <v>15450</v>
      </c>
    </row>
    <row r="804" spans="1:7" ht="15.75" x14ac:dyDescent="0.25">
      <c r="A804" s="262" t="s">
        <v>702</v>
      </c>
      <c r="B804" s="264" t="s">
        <v>524</v>
      </c>
      <c r="C804" s="274">
        <v>6000</v>
      </c>
      <c r="D804" s="274">
        <v>3000</v>
      </c>
      <c r="E804" s="274">
        <v>9196.08</v>
      </c>
      <c r="F804" s="274">
        <f t="shared" si="15"/>
        <v>12196.08</v>
      </c>
      <c r="G804" s="274">
        <v>14811.12</v>
      </c>
    </row>
    <row r="805" spans="1:7" ht="15.75" x14ac:dyDescent="0.25">
      <c r="A805" s="262" t="s">
        <v>785</v>
      </c>
      <c r="B805" s="264" t="s">
        <v>704</v>
      </c>
      <c r="C805" s="274"/>
      <c r="D805" s="274">
        <v>101634</v>
      </c>
      <c r="E805" s="274">
        <v>0</v>
      </c>
      <c r="F805" s="274">
        <f t="shared" si="15"/>
        <v>101634</v>
      </c>
      <c r="G805" s="274">
        <v>123426</v>
      </c>
    </row>
    <row r="806" spans="1:7" ht="15.75" x14ac:dyDescent="0.25">
      <c r="A806" s="262" t="s">
        <v>705</v>
      </c>
      <c r="B806" s="264" t="s">
        <v>704</v>
      </c>
      <c r="C806" s="274">
        <v>94266</v>
      </c>
      <c r="D806" s="274">
        <v>0</v>
      </c>
      <c r="E806" s="274">
        <v>101634</v>
      </c>
      <c r="F806" s="274">
        <f t="shared" si="15"/>
        <v>101634</v>
      </c>
      <c r="G806" s="274">
        <v>123426</v>
      </c>
    </row>
    <row r="807" spans="1:7" ht="15.75" x14ac:dyDescent="0.25">
      <c r="A807" s="262" t="s">
        <v>706</v>
      </c>
      <c r="B807" s="264" t="s">
        <v>707</v>
      </c>
      <c r="C807" s="274">
        <v>25000</v>
      </c>
      <c r="D807" s="274">
        <v>12500</v>
      </c>
      <c r="E807" s="274">
        <v>12500</v>
      </c>
      <c r="F807" s="274">
        <f t="shared" si="15"/>
        <v>25000</v>
      </c>
      <c r="G807" s="274">
        <v>30000</v>
      </c>
    </row>
    <row r="808" spans="1:7" ht="15.75" x14ac:dyDescent="0.25">
      <c r="A808" s="262" t="s">
        <v>786</v>
      </c>
      <c r="B808" s="264" t="s">
        <v>709</v>
      </c>
      <c r="C808" s="274">
        <v>67500</v>
      </c>
      <c r="D808" s="274">
        <v>33750</v>
      </c>
      <c r="E808" s="274">
        <v>33750</v>
      </c>
      <c r="F808" s="274">
        <f t="shared" si="15"/>
        <v>67500</v>
      </c>
      <c r="G808" s="274">
        <v>67500</v>
      </c>
    </row>
    <row r="809" spans="1:7" ht="15.75" x14ac:dyDescent="0.25">
      <c r="A809" s="262" t="s">
        <v>787</v>
      </c>
      <c r="B809" s="264" t="s">
        <v>510</v>
      </c>
      <c r="C809" s="274">
        <v>67500</v>
      </c>
      <c r="D809" s="274">
        <v>33750</v>
      </c>
      <c r="E809" s="274">
        <v>33750</v>
      </c>
      <c r="F809" s="274">
        <f t="shared" si="15"/>
        <v>67500</v>
      </c>
      <c r="G809" s="274">
        <v>67500</v>
      </c>
    </row>
    <row r="810" spans="1:7" ht="15.75" x14ac:dyDescent="0.25">
      <c r="A810" s="262" t="s">
        <v>788</v>
      </c>
      <c r="B810" s="264" t="s">
        <v>712</v>
      </c>
      <c r="C810" s="274">
        <v>25000</v>
      </c>
      <c r="D810" s="274">
        <v>25000</v>
      </c>
      <c r="E810" s="274">
        <v>0</v>
      </c>
      <c r="F810" s="274">
        <f t="shared" si="15"/>
        <v>25000</v>
      </c>
      <c r="G810" s="274">
        <v>30000</v>
      </c>
    </row>
    <row r="811" spans="1:7" ht="15.75" x14ac:dyDescent="0.25">
      <c r="A811" s="262" t="s">
        <v>713</v>
      </c>
      <c r="B811" s="264" t="s">
        <v>789</v>
      </c>
      <c r="C811" s="48">
        <v>5000</v>
      </c>
      <c r="D811" s="274">
        <v>0</v>
      </c>
      <c r="E811" s="274">
        <v>5000</v>
      </c>
      <c r="F811" s="274">
        <f t="shared" si="15"/>
        <v>5000</v>
      </c>
      <c r="G811" s="274">
        <v>5000</v>
      </c>
    </row>
    <row r="812" spans="1:7" ht="15.75" x14ac:dyDescent="0.25">
      <c r="A812" s="262" t="s">
        <v>717</v>
      </c>
      <c r="B812" s="264" t="s">
        <v>527</v>
      </c>
      <c r="C812" s="48">
        <v>20034</v>
      </c>
      <c r="D812" s="274">
        <v>0</v>
      </c>
      <c r="E812" s="274">
        <v>25000</v>
      </c>
      <c r="F812" s="274">
        <f t="shared" si="15"/>
        <v>25000</v>
      </c>
      <c r="G812" s="274">
        <v>0</v>
      </c>
    </row>
    <row r="813" spans="1:7" ht="15.75" x14ac:dyDescent="0.25">
      <c r="A813" s="262" t="s">
        <v>829</v>
      </c>
      <c r="B813" s="264" t="s">
        <v>527</v>
      </c>
      <c r="C813" s="48">
        <v>0</v>
      </c>
      <c r="D813" s="274">
        <v>10000</v>
      </c>
      <c r="E813" s="274">
        <v>0</v>
      </c>
      <c r="F813" s="274">
        <f t="shared" si="15"/>
        <v>10000</v>
      </c>
      <c r="G813" s="274"/>
    </row>
    <row r="814" spans="1:7" ht="15.75" x14ac:dyDescent="0.25">
      <c r="A814" s="262" t="s">
        <v>721</v>
      </c>
      <c r="B814" s="264" t="s">
        <v>527</v>
      </c>
      <c r="C814" s="48">
        <v>94266</v>
      </c>
      <c r="D814" s="274">
        <v>0</v>
      </c>
      <c r="E814" s="274">
        <v>25000</v>
      </c>
      <c r="F814" s="274">
        <f t="shared" si="15"/>
        <v>25000</v>
      </c>
      <c r="G814" s="274">
        <v>30000</v>
      </c>
    </row>
    <row r="815" spans="1:7" ht="15.75" x14ac:dyDescent="0.25">
      <c r="A815" s="265" t="s">
        <v>722</v>
      </c>
      <c r="B815" s="276"/>
      <c r="C815" s="304">
        <f>SUM(C795:C814)</f>
        <v>1851263.89</v>
      </c>
      <c r="D815" s="304">
        <f>SUM(D795:D814)</f>
        <v>1006539.59</v>
      </c>
      <c r="E815" s="304">
        <f>SUM(E795:E814)</f>
        <v>1040357.8699999999</v>
      </c>
      <c r="F815" s="304">
        <f>SUM(F795:F814)</f>
        <v>2046897.46</v>
      </c>
      <c r="G815" s="304">
        <f>SUM(G795:G814)</f>
        <v>2518027.77</v>
      </c>
    </row>
    <row r="816" spans="1:7" ht="16.5" x14ac:dyDescent="0.25">
      <c r="A816" s="268"/>
      <c r="B816" s="249"/>
      <c r="C816" s="249"/>
      <c r="D816" s="249"/>
      <c r="E816" s="249"/>
      <c r="F816" s="249"/>
      <c r="G816" s="249"/>
    </row>
    <row r="817" spans="1:7" ht="16.5" x14ac:dyDescent="0.25">
      <c r="A817" s="268"/>
      <c r="B817" s="249"/>
      <c r="C817" s="249"/>
      <c r="D817" s="249"/>
      <c r="E817" s="249"/>
      <c r="F817" s="249"/>
      <c r="G817" s="269" t="s">
        <v>866</v>
      </c>
    </row>
    <row r="818" spans="1:7" ht="16.5" x14ac:dyDescent="0.25">
      <c r="A818" s="268"/>
      <c r="B818" s="249"/>
      <c r="C818" s="249"/>
      <c r="D818" s="249"/>
      <c r="E818" s="249"/>
      <c r="F818" s="249"/>
      <c r="G818" s="269"/>
    </row>
    <row r="819" spans="1:7" ht="16.5" x14ac:dyDescent="0.25">
      <c r="A819" s="268"/>
      <c r="B819" s="249"/>
      <c r="C819" s="249"/>
      <c r="D819" s="249"/>
      <c r="E819" s="249"/>
      <c r="F819" s="249"/>
      <c r="G819" s="269"/>
    </row>
    <row r="820" spans="1:7" ht="16.5" x14ac:dyDescent="0.25">
      <c r="A820" s="268"/>
      <c r="B820" s="249"/>
      <c r="C820" s="249"/>
      <c r="D820" s="249"/>
      <c r="E820" s="249"/>
      <c r="F820" s="249"/>
      <c r="G820" s="269"/>
    </row>
    <row r="821" spans="1:7" ht="16.5" x14ac:dyDescent="0.25">
      <c r="A821" s="268"/>
      <c r="B821" s="249"/>
      <c r="C821" s="249"/>
      <c r="D821" s="249"/>
      <c r="E821" s="249"/>
      <c r="F821" s="249"/>
      <c r="G821" s="269"/>
    </row>
    <row r="822" spans="1:7" ht="16.5" x14ac:dyDescent="0.25">
      <c r="A822" s="248" t="s">
        <v>674</v>
      </c>
      <c r="B822" s="249"/>
      <c r="C822" s="249"/>
      <c r="D822" s="249"/>
      <c r="E822" s="249"/>
      <c r="F822" s="249" t="s">
        <v>655</v>
      </c>
      <c r="G822" s="250" t="s">
        <v>675</v>
      </c>
    </row>
    <row r="823" spans="1:7" ht="18" x14ac:dyDescent="0.25">
      <c r="A823" s="350" t="s">
        <v>676</v>
      </c>
      <c r="B823" s="350"/>
      <c r="C823" s="350"/>
      <c r="D823" s="350"/>
      <c r="E823" s="350"/>
      <c r="F823" s="350"/>
      <c r="G823" s="350"/>
    </row>
    <row r="824" spans="1:7" ht="16.5" x14ac:dyDescent="0.25">
      <c r="A824" s="325"/>
      <c r="B824" s="325"/>
      <c r="C824" s="325"/>
      <c r="D824" s="325"/>
      <c r="E824" s="325"/>
      <c r="F824" s="325"/>
      <c r="G824" s="325"/>
    </row>
    <row r="825" spans="1:7" ht="15.75" x14ac:dyDescent="0.25">
      <c r="A825" s="252" t="s">
        <v>867</v>
      </c>
      <c r="B825" s="253"/>
      <c r="C825" s="253"/>
      <c r="D825" s="253"/>
      <c r="E825" s="253"/>
      <c r="F825" s="253"/>
      <c r="G825" s="253"/>
    </row>
    <row r="826" spans="1:7" ht="15.75" x14ac:dyDescent="0.25">
      <c r="A826" s="252"/>
      <c r="B826" s="253"/>
      <c r="C826" s="253"/>
      <c r="D826" s="253"/>
      <c r="E826" s="253"/>
      <c r="F826" s="253"/>
      <c r="G826" s="281"/>
    </row>
    <row r="827" spans="1:7" ht="15.75" x14ac:dyDescent="0.25">
      <c r="A827" s="351" t="s">
        <v>678</v>
      </c>
      <c r="B827" s="254" t="s">
        <v>679</v>
      </c>
      <c r="C827" s="254" t="s">
        <v>680</v>
      </c>
      <c r="D827" s="353" t="s">
        <v>681</v>
      </c>
      <c r="E827" s="354"/>
      <c r="F827" s="355"/>
      <c r="G827" s="254" t="s">
        <v>682</v>
      </c>
    </row>
    <row r="828" spans="1:7" ht="15.75" x14ac:dyDescent="0.25">
      <c r="A828" s="352"/>
      <c r="B828" s="255" t="s">
        <v>683</v>
      </c>
      <c r="C828" s="255" t="s">
        <v>684</v>
      </c>
      <c r="D828" s="255" t="s">
        <v>92</v>
      </c>
      <c r="E828" s="255" t="s">
        <v>93</v>
      </c>
      <c r="F828" s="356" t="s">
        <v>25</v>
      </c>
      <c r="G828" s="255" t="s">
        <v>454</v>
      </c>
    </row>
    <row r="829" spans="1:7" ht="15.75" x14ac:dyDescent="0.25">
      <c r="A829" s="352"/>
      <c r="B829" s="255"/>
      <c r="C829" s="255"/>
      <c r="D829" s="256" t="s">
        <v>684</v>
      </c>
      <c r="E829" s="256" t="s">
        <v>685</v>
      </c>
      <c r="F829" s="357"/>
      <c r="G829" s="255"/>
    </row>
    <row r="830" spans="1:7" ht="15.75" x14ac:dyDescent="0.25">
      <c r="A830" s="308" t="s">
        <v>686</v>
      </c>
      <c r="B830" s="258" t="s">
        <v>687</v>
      </c>
      <c r="C830" s="258" t="s">
        <v>688</v>
      </c>
      <c r="D830" s="259" t="s">
        <v>689</v>
      </c>
      <c r="E830" s="258" t="s">
        <v>690</v>
      </c>
      <c r="F830" s="258" t="s">
        <v>691</v>
      </c>
      <c r="G830" s="258" t="s">
        <v>692</v>
      </c>
    </row>
    <row r="831" spans="1:7" ht="31.5" x14ac:dyDescent="0.25">
      <c r="A831" s="323" t="s">
        <v>793</v>
      </c>
      <c r="B831" s="261"/>
      <c r="C831" s="261"/>
      <c r="D831" s="261"/>
      <c r="E831" s="261"/>
      <c r="F831" s="261"/>
      <c r="G831" s="284"/>
    </row>
    <row r="832" spans="1:7" ht="15.75" x14ac:dyDescent="0.25">
      <c r="A832" s="262" t="s">
        <v>724</v>
      </c>
      <c r="B832" s="264" t="s">
        <v>505</v>
      </c>
      <c r="C832" s="284">
        <v>83948.33</v>
      </c>
      <c r="D832" s="284">
        <v>45338</v>
      </c>
      <c r="E832" s="284">
        <v>29662</v>
      </c>
      <c r="F832" s="274">
        <f>E832+D832</f>
        <v>75000</v>
      </c>
      <c r="G832" s="274">
        <v>75000</v>
      </c>
    </row>
    <row r="833" spans="1:7" ht="15.75" x14ac:dyDescent="0.25">
      <c r="A833" s="262" t="s">
        <v>725</v>
      </c>
      <c r="B833" s="264" t="s">
        <v>532</v>
      </c>
      <c r="C833" s="284">
        <v>66394.63</v>
      </c>
      <c r="D833" s="284">
        <v>26611.9</v>
      </c>
      <c r="E833" s="284">
        <v>44108.1</v>
      </c>
      <c r="F833" s="274">
        <f>E833+D833</f>
        <v>70720</v>
      </c>
      <c r="G833" s="274">
        <v>70720</v>
      </c>
    </row>
    <row r="834" spans="1:7" ht="15.75" x14ac:dyDescent="0.25">
      <c r="A834" s="262" t="s">
        <v>729</v>
      </c>
      <c r="B834" s="264" t="s">
        <v>568</v>
      </c>
      <c r="C834" s="284">
        <v>20352</v>
      </c>
      <c r="D834" s="284">
        <v>8904</v>
      </c>
      <c r="E834" s="284">
        <v>11576</v>
      </c>
      <c r="F834" s="274">
        <f>E834+D834</f>
        <v>20480</v>
      </c>
      <c r="G834" s="274">
        <v>20480</v>
      </c>
    </row>
    <row r="835" spans="1:7" ht="15.75" x14ac:dyDescent="0.25">
      <c r="A835" s="262" t="s">
        <v>730</v>
      </c>
      <c r="B835" s="264" t="s">
        <v>529</v>
      </c>
      <c r="C835" s="274">
        <v>0</v>
      </c>
      <c r="D835" s="274">
        <v>0</v>
      </c>
      <c r="E835" s="274">
        <v>5000</v>
      </c>
      <c r="F835" s="274">
        <f>E835+D835</f>
        <v>5000</v>
      </c>
      <c r="G835" s="274">
        <v>5000</v>
      </c>
    </row>
    <row r="836" spans="1:7" ht="15.75" x14ac:dyDescent="0.25">
      <c r="A836" s="262"/>
      <c r="B836" s="264"/>
      <c r="C836" s="274"/>
      <c r="D836" s="274"/>
      <c r="E836" s="274"/>
      <c r="F836" s="274" t="s">
        <v>655</v>
      </c>
      <c r="G836" s="274"/>
    </row>
    <row r="837" spans="1:7" ht="15.75" x14ac:dyDescent="0.25">
      <c r="A837" s="294" t="s">
        <v>281</v>
      </c>
      <c r="B837" s="263"/>
      <c r="C837" s="312">
        <f>SUM(C832:C835)</f>
        <v>170694.96000000002</v>
      </c>
      <c r="D837" s="312">
        <f>SUM(D832:D835)</f>
        <v>80853.899999999994</v>
      </c>
      <c r="E837" s="312">
        <f>SUM(E832:E835)</f>
        <v>90346.1</v>
      </c>
      <c r="F837" s="312">
        <f>SUM(F832:F835)</f>
        <v>171200</v>
      </c>
      <c r="G837" s="332">
        <f>SUM(G832:G836)</f>
        <v>171200</v>
      </c>
    </row>
    <row r="838" spans="1:7" ht="15.75" x14ac:dyDescent="0.25">
      <c r="A838" s="262"/>
      <c r="B838" s="263"/>
      <c r="C838" s="284"/>
      <c r="D838" s="284"/>
      <c r="E838" s="284"/>
      <c r="F838" s="48"/>
      <c r="G838" s="274"/>
    </row>
    <row r="839" spans="1:7" ht="15.75" x14ac:dyDescent="0.25">
      <c r="A839" s="302" t="s">
        <v>796</v>
      </c>
      <c r="B839" s="263"/>
      <c r="C839" s="284"/>
      <c r="D839" s="284"/>
      <c r="E839" s="284"/>
      <c r="F839" s="48"/>
      <c r="G839" s="274"/>
    </row>
    <row r="840" spans="1:7" ht="15.75" x14ac:dyDescent="0.25">
      <c r="A840" s="262" t="s">
        <v>655</v>
      </c>
      <c r="B840" s="263"/>
      <c r="C840" s="284"/>
      <c r="D840" s="284"/>
      <c r="E840" s="284"/>
      <c r="F840" s="48">
        <v>0</v>
      </c>
      <c r="G840" s="274"/>
    </row>
    <row r="841" spans="1:7" ht="15.75" x14ac:dyDescent="0.25">
      <c r="A841" s="294" t="s">
        <v>282</v>
      </c>
      <c r="B841" s="263"/>
      <c r="C841" s="312"/>
      <c r="D841" s="312"/>
      <c r="E841" s="312"/>
      <c r="F841" s="312">
        <f>SUM(F840)</f>
        <v>0</v>
      </c>
      <c r="G841" s="332"/>
    </row>
    <row r="842" spans="1:7" ht="15.75" x14ac:dyDescent="0.25">
      <c r="A842" s="262"/>
      <c r="B842" s="263"/>
      <c r="C842" s="48"/>
      <c r="D842" s="48"/>
      <c r="E842" s="48"/>
      <c r="F842" s="48"/>
      <c r="G842" s="274"/>
    </row>
    <row r="843" spans="1:7" ht="15.75" x14ac:dyDescent="0.25">
      <c r="A843" s="265" t="s">
        <v>279</v>
      </c>
      <c r="B843" s="313"/>
      <c r="C843" s="304">
        <f>C815+C837+C841</f>
        <v>2021958.8499999999</v>
      </c>
      <c r="D843" s="304">
        <f>D815+D837+D841</f>
        <v>1087393.49</v>
      </c>
      <c r="E843" s="304">
        <f>E815+E837+E841</f>
        <v>1130703.97</v>
      </c>
      <c r="F843" s="304">
        <f>F815+F837+F841</f>
        <v>2218097.46</v>
      </c>
      <c r="G843" s="304">
        <f>G815+G837+G841</f>
        <v>2689227.77</v>
      </c>
    </row>
    <row r="844" spans="1:7" ht="15.75" x14ac:dyDescent="0.25">
      <c r="A844" s="252"/>
      <c r="B844" s="253"/>
      <c r="C844" s="253"/>
      <c r="D844" s="253"/>
      <c r="E844" s="253"/>
      <c r="F844" s="253"/>
      <c r="G844" s="253"/>
    </row>
    <row r="845" spans="1:7" ht="16.5" x14ac:dyDescent="0.25">
      <c r="A845" s="252" t="s">
        <v>798</v>
      </c>
      <c r="B845" s="253" t="s">
        <v>799</v>
      </c>
      <c r="C845" s="253"/>
      <c r="D845" s="253"/>
      <c r="E845" s="253" t="s">
        <v>651</v>
      </c>
      <c r="F845" s="326"/>
      <c r="G845" s="253"/>
    </row>
    <row r="846" spans="1:7" ht="15.75" x14ac:dyDescent="0.25">
      <c r="A846" s="252"/>
      <c r="B846" s="253"/>
      <c r="C846" s="253"/>
      <c r="D846" s="253"/>
      <c r="E846" s="253"/>
      <c r="F846" s="253"/>
      <c r="G846" s="253"/>
    </row>
    <row r="847" spans="1:7" ht="15.75" x14ac:dyDescent="0.25">
      <c r="A847" s="252"/>
      <c r="B847" s="253"/>
      <c r="C847" s="253"/>
      <c r="D847" s="253"/>
      <c r="E847" s="253"/>
      <c r="F847" s="253"/>
      <c r="G847" s="253"/>
    </row>
    <row r="848" spans="1:7" ht="15.75" x14ac:dyDescent="0.25">
      <c r="A848" s="296" t="s">
        <v>868</v>
      </c>
      <c r="B848" s="359" t="s">
        <v>800</v>
      </c>
      <c r="C848" s="359"/>
      <c r="D848" s="359"/>
      <c r="E848" s="359" t="s">
        <v>778</v>
      </c>
      <c r="F848" s="359"/>
      <c r="G848" s="359"/>
    </row>
    <row r="849" spans="1:7" ht="15.75" x14ac:dyDescent="0.25">
      <c r="A849" s="298" t="s">
        <v>869</v>
      </c>
      <c r="B849" s="360" t="s">
        <v>780</v>
      </c>
      <c r="C849" s="360"/>
      <c r="D849" s="360"/>
      <c r="E849" s="360" t="s">
        <v>802</v>
      </c>
      <c r="F849" s="360"/>
      <c r="G849" s="360"/>
    </row>
    <row r="850" spans="1:7" ht="15.75" x14ac:dyDescent="0.25">
      <c r="A850" s="298"/>
      <c r="B850" s="300"/>
      <c r="C850" s="300"/>
      <c r="D850" s="300"/>
      <c r="E850" s="300"/>
      <c r="F850" s="300"/>
      <c r="G850" s="300"/>
    </row>
    <row r="851" spans="1:7" ht="15.75" x14ac:dyDescent="0.25">
      <c r="A851" s="317"/>
      <c r="B851" s="318"/>
      <c r="C851" s="318"/>
      <c r="D851" s="318"/>
      <c r="E851" s="318"/>
      <c r="F851" s="318"/>
      <c r="G851" s="269" t="s">
        <v>870</v>
      </c>
    </row>
    <row r="852" spans="1:7" ht="15.75" x14ac:dyDescent="0.25">
      <c r="A852" s="317"/>
      <c r="B852" s="318"/>
      <c r="C852" s="318"/>
      <c r="D852" s="318"/>
      <c r="E852" s="318"/>
      <c r="F852" s="318"/>
      <c r="G852" s="318"/>
    </row>
    <row r="853" spans="1:7" ht="15.75" x14ac:dyDescent="0.25">
      <c r="A853" s="317"/>
      <c r="B853" s="318"/>
      <c r="C853" s="318"/>
      <c r="D853" s="318"/>
      <c r="E853" s="318"/>
      <c r="F853" s="318"/>
      <c r="G853" s="318"/>
    </row>
    <row r="858" spans="1:7" ht="16.5" x14ac:dyDescent="0.25">
      <c r="A858" s="248" t="s">
        <v>674</v>
      </c>
      <c r="B858" s="249"/>
      <c r="C858" s="249"/>
      <c r="D858" s="249"/>
      <c r="E858" s="249"/>
      <c r="F858" s="249" t="s">
        <v>655</v>
      </c>
      <c r="G858" s="250" t="s">
        <v>675</v>
      </c>
    </row>
    <row r="859" spans="1:7" ht="18" x14ac:dyDescent="0.25">
      <c r="A859" s="350" t="s">
        <v>676</v>
      </c>
      <c r="B859" s="350"/>
      <c r="C859" s="350"/>
      <c r="D859" s="350"/>
      <c r="E859" s="350"/>
      <c r="F859" s="350"/>
      <c r="G859" s="350"/>
    </row>
    <row r="860" spans="1:7" ht="16.5" x14ac:dyDescent="0.25">
      <c r="A860" s="325"/>
      <c r="B860" s="325"/>
      <c r="C860" s="325"/>
      <c r="D860" s="325"/>
      <c r="E860" s="325"/>
      <c r="F860" s="325"/>
      <c r="G860" s="325"/>
    </row>
    <row r="861" spans="1:7" ht="15.75" x14ac:dyDescent="0.25">
      <c r="A861" s="252" t="s">
        <v>871</v>
      </c>
      <c r="B861" s="253"/>
      <c r="C861" s="253"/>
      <c r="D861" s="253"/>
      <c r="E861" s="253"/>
      <c r="F861" s="253"/>
      <c r="G861" s="253"/>
    </row>
    <row r="862" spans="1:7" ht="15.75" x14ac:dyDescent="0.25">
      <c r="A862" s="252" t="s">
        <v>655</v>
      </c>
      <c r="B862" s="253"/>
      <c r="C862" s="253"/>
      <c r="D862" s="253"/>
      <c r="E862" s="253"/>
      <c r="F862" s="253"/>
      <c r="G862" s="281"/>
    </row>
    <row r="863" spans="1:7" ht="15.75" x14ac:dyDescent="0.25">
      <c r="A863" s="337" t="s">
        <v>678</v>
      </c>
      <c r="B863" s="254" t="s">
        <v>679</v>
      </c>
      <c r="C863" s="254" t="s">
        <v>680</v>
      </c>
      <c r="D863" s="353" t="s">
        <v>681</v>
      </c>
      <c r="E863" s="354"/>
      <c r="F863" s="355"/>
      <c r="G863" s="254" t="s">
        <v>682</v>
      </c>
    </row>
    <row r="864" spans="1:7" ht="15.75" x14ac:dyDescent="0.25">
      <c r="A864" s="308" t="s">
        <v>872</v>
      </c>
      <c r="B864" s="255" t="s">
        <v>683</v>
      </c>
      <c r="C864" s="255" t="s">
        <v>684</v>
      </c>
      <c r="D864" s="255" t="s">
        <v>92</v>
      </c>
      <c r="E864" s="255" t="s">
        <v>93</v>
      </c>
      <c r="F864" s="356" t="s">
        <v>25</v>
      </c>
      <c r="G864" s="255" t="s">
        <v>454</v>
      </c>
    </row>
    <row r="865" spans="1:7" ht="15.75" x14ac:dyDescent="0.25">
      <c r="A865" s="308"/>
      <c r="B865" s="255"/>
      <c r="C865" s="255"/>
      <c r="D865" s="256" t="s">
        <v>684</v>
      </c>
      <c r="E865" s="256" t="s">
        <v>685</v>
      </c>
      <c r="F865" s="357"/>
      <c r="G865" s="255"/>
    </row>
    <row r="866" spans="1:7" ht="15.75" x14ac:dyDescent="0.25">
      <c r="A866" s="265"/>
      <c r="B866" s="258" t="s">
        <v>687</v>
      </c>
      <c r="C866" s="258" t="s">
        <v>688</v>
      </c>
      <c r="D866" s="259" t="s">
        <v>689</v>
      </c>
      <c r="E866" s="258" t="s">
        <v>690</v>
      </c>
      <c r="F866" s="258" t="s">
        <v>691</v>
      </c>
      <c r="G866" s="258" t="s">
        <v>692</v>
      </c>
    </row>
    <row r="867" spans="1:7" ht="15.75" x14ac:dyDescent="0.25">
      <c r="A867" s="260" t="s">
        <v>693</v>
      </c>
      <c r="B867" s="331"/>
      <c r="C867" s="261"/>
      <c r="D867" s="261"/>
      <c r="E867" s="261"/>
      <c r="F867" s="261"/>
      <c r="G867" s="284"/>
    </row>
    <row r="868" spans="1:7" ht="15.75" x14ac:dyDescent="0.25">
      <c r="A868" s="302" t="s">
        <v>784</v>
      </c>
      <c r="B868" s="283"/>
      <c r="C868" s="263"/>
      <c r="D868" s="263"/>
      <c r="E868" s="263"/>
      <c r="F868" s="263"/>
      <c r="G868" s="284"/>
    </row>
    <row r="869" spans="1:7" ht="15.75" x14ac:dyDescent="0.25">
      <c r="A869" s="262" t="s">
        <v>695</v>
      </c>
      <c r="B869" s="264" t="s">
        <v>505</v>
      </c>
      <c r="C869" s="157">
        <v>3899772</v>
      </c>
      <c r="D869" s="48">
        <v>2057664</v>
      </c>
      <c r="E869" s="48">
        <v>2057664</v>
      </c>
      <c r="F869" s="48">
        <f>E869+D869</f>
        <v>4115328</v>
      </c>
      <c r="G869" s="48">
        <v>4681320</v>
      </c>
    </row>
    <row r="870" spans="1:7" ht="15.75" x14ac:dyDescent="0.25">
      <c r="A870" s="262" t="s">
        <v>696</v>
      </c>
      <c r="B870" s="264" t="s">
        <v>521</v>
      </c>
      <c r="C870" s="274">
        <v>467972.64</v>
      </c>
      <c r="D870" s="274">
        <v>246919.67999999999</v>
      </c>
      <c r="E870" s="274">
        <v>246919.67999999999</v>
      </c>
      <c r="F870" s="48">
        <f t="shared" ref="F870:F889" si="16">E870+D870</f>
        <v>493839.35999999999</v>
      </c>
      <c r="G870" s="274">
        <v>561758.4</v>
      </c>
    </row>
    <row r="871" spans="1:7" ht="15.75" x14ac:dyDescent="0.25">
      <c r="A871" s="262" t="s">
        <v>697</v>
      </c>
      <c r="B871" s="264" t="s">
        <v>527</v>
      </c>
      <c r="C871" s="274">
        <v>109416.9</v>
      </c>
      <c r="D871" s="274">
        <v>116152.6</v>
      </c>
      <c r="E871" s="274">
        <v>1277.6600000000001</v>
      </c>
      <c r="F871" s="48">
        <f t="shared" si="16"/>
        <v>117430.26000000001</v>
      </c>
      <c r="G871" s="274">
        <v>564013.63</v>
      </c>
    </row>
    <row r="872" spans="1:7" ht="15.75" x14ac:dyDescent="0.25">
      <c r="A872" s="262" t="s">
        <v>698</v>
      </c>
      <c r="B872" s="264" t="s">
        <v>508</v>
      </c>
      <c r="C872" s="274">
        <v>360000</v>
      </c>
      <c r="D872" s="274">
        <v>180000</v>
      </c>
      <c r="E872" s="274">
        <v>180000</v>
      </c>
      <c r="F872" s="48">
        <f t="shared" si="16"/>
        <v>360000</v>
      </c>
      <c r="G872" s="274">
        <v>384000</v>
      </c>
    </row>
    <row r="873" spans="1:7" ht="15.75" x14ac:dyDescent="0.25">
      <c r="A873" s="262" t="s">
        <v>699</v>
      </c>
      <c r="B873" s="264" t="s">
        <v>664</v>
      </c>
      <c r="C873" s="274">
        <v>75000</v>
      </c>
      <c r="D873" s="274">
        <v>0</v>
      </c>
      <c r="E873" s="274">
        <v>0</v>
      </c>
      <c r="F873" s="48">
        <f t="shared" si="16"/>
        <v>0</v>
      </c>
      <c r="G873" s="274">
        <v>0</v>
      </c>
    </row>
    <row r="874" spans="1:7" ht="15.75" x14ac:dyDescent="0.25">
      <c r="A874" s="262" t="s">
        <v>700</v>
      </c>
      <c r="B874" s="264" t="s">
        <v>522</v>
      </c>
      <c r="C874" s="274">
        <v>77995.44</v>
      </c>
      <c r="D874" s="274">
        <v>41153.279999999999</v>
      </c>
      <c r="E874" s="274">
        <v>41153.279999999999</v>
      </c>
      <c r="F874" s="48">
        <f t="shared" si="16"/>
        <v>82306.559999999998</v>
      </c>
      <c r="G874" s="274">
        <v>93626.4</v>
      </c>
    </row>
    <row r="875" spans="1:7" ht="15.75" x14ac:dyDescent="0.25">
      <c r="A875" s="262" t="s">
        <v>701</v>
      </c>
      <c r="B875" s="264" t="s">
        <v>523</v>
      </c>
      <c r="C875" s="274">
        <v>44850</v>
      </c>
      <c r="D875" s="274">
        <v>23475</v>
      </c>
      <c r="E875" s="274">
        <v>23775</v>
      </c>
      <c r="F875" s="48">
        <f t="shared" si="16"/>
        <v>47250</v>
      </c>
      <c r="G875" s="274">
        <v>52800</v>
      </c>
    </row>
    <row r="876" spans="1:7" ht="15.75" x14ac:dyDescent="0.25">
      <c r="A876" s="262" t="s">
        <v>702</v>
      </c>
      <c r="B876" s="264" t="s">
        <v>524</v>
      </c>
      <c r="C876" s="274">
        <v>18000</v>
      </c>
      <c r="D876" s="274">
        <v>9000</v>
      </c>
      <c r="E876" s="274">
        <v>32153.279999999999</v>
      </c>
      <c r="F876" s="48">
        <f t="shared" si="16"/>
        <v>41153.279999999999</v>
      </c>
      <c r="G876" s="274">
        <v>46813.2</v>
      </c>
    </row>
    <row r="877" spans="1:7" ht="15.75" x14ac:dyDescent="0.25">
      <c r="A877" s="262" t="s">
        <v>785</v>
      </c>
      <c r="B877" s="264" t="s">
        <v>704</v>
      </c>
      <c r="C877" s="274"/>
      <c r="D877" s="274">
        <v>342944</v>
      </c>
      <c r="E877" s="274">
        <v>0</v>
      </c>
      <c r="F877" s="48">
        <f t="shared" si="16"/>
        <v>342944</v>
      </c>
      <c r="G877" s="274">
        <v>390110</v>
      </c>
    </row>
    <row r="878" spans="1:7" ht="15.75" x14ac:dyDescent="0.25">
      <c r="A878" s="262" t="s">
        <v>705</v>
      </c>
      <c r="B878" s="264" t="s">
        <v>704</v>
      </c>
      <c r="C878" s="274">
        <v>324981</v>
      </c>
      <c r="D878" s="274">
        <v>0</v>
      </c>
      <c r="E878" s="274">
        <v>342944</v>
      </c>
      <c r="F878" s="48">
        <f t="shared" si="16"/>
        <v>342944</v>
      </c>
      <c r="G878" s="274">
        <v>390110</v>
      </c>
    </row>
    <row r="879" spans="1:7" ht="15.75" x14ac:dyDescent="0.25">
      <c r="A879" s="262" t="s">
        <v>706</v>
      </c>
      <c r="B879" s="264" t="s">
        <v>707</v>
      </c>
      <c r="C879" s="274">
        <v>75000</v>
      </c>
      <c r="D879" s="274">
        <v>37500</v>
      </c>
      <c r="E879" s="274">
        <v>37500</v>
      </c>
      <c r="F879" s="48">
        <f t="shared" si="16"/>
        <v>75000</v>
      </c>
      <c r="G879" s="274">
        <v>80000</v>
      </c>
    </row>
    <row r="880" spans="1:7" ht="15.75" x14ac:dyDescent="0.25">
      <c r="A880" s="262" t="s">
        <v>786</v>
      </c>
      <c r="B880" s="264" t="s">
        <v>709</v>
      </c>
      <c r="C880" s="48">
        <v>67500</v>
      </c>
      <c r="D880" s="274">
        <v>33750</v>
      </c>
      <c r="E880" s="274">
        <v>33750</v>
      </c>
      <c r="F880" s="48">
        <f t="shared" si="16"/>
        <v>67500</v>
      </c>
      <c r="G880" s="274">
        <v>67500</v>
      </c>
    </row>
    <row r="881" spans="1:7" ht="15.75" x14ac:dyDescent="0.25">
      <c r="A881" s="262" t="s">
        <v>787</v>
      </c>
      <c r="B881" s="264" t="s">
        <v>510</v>
      </c>
      <c r="C881" s="48">
        <v>67500</v>
      </c>
      <c r="D881" s="274">
        <v>33750</v>
      </c>
      <c r="E881" s="274">
        <v>33750</v>
      </c>
      <c r="F881" s="48">
        <f t="shared" si="16"/>
        <v>67500</v>
      </c>
      <c r="G881" s="274">
        <v>67500</v>
      </c>
    </row>
    <row r="882" spans="1:7" ht="15.75" x14ac:dyDescent="0.25">
      <c r="A882" s="262" t="s">
        <v>788</v>
      </c>
      <c r="B882" s="264" t="s">
        <v>712</v>
      </c>
      <c r="C882" s="48">
        <v>75000</v>
      </c>
      <c r="D882" s="274">
        <v>75000</v>
      </c>
      <c r="E882" s="274">
        <v>0</v>
      </c>
      <c r="F882" s="48">
        <f t="shared" si="16"/>
        <v>75000</v>
      </c>
      <c r="G882" s="274">
        <v>80000</v>
      </c>
    </row>
    <row r="883" spans="1:7" ht="15.75" x14ac:dyDescent="0.25">
      <c r="A883" s="262" t="s">
        <v>713</v>
      </c>
      <c r="B883" s="264" t="s">
        <v>517</v>
      </c>
      <c r="C883" s="48">
        <v>10000</v>
      </c>
      <c r="D883" s="274">
        <v>0</v>
      </c>
      <c r="E883" s="274">
        <v>10000</v>
      </c>
      <c r="F883" s="48">
        <f t="shared" si="16"/>
        <v>10000</v>
      </c>
      <c r="G883" s="274">
        <v>5000</v>
      </c>
    </row>
    <row r="884" spans="1:7" ht="15.75" x14ac:dyDescent="0.25">
      <c r="A884" s="262" t="s">
        <v>714</v>
      </c>
      <c r="B884" s="264" t="s">
        <v>513</v>
      </c>
      <c r="C884" s="48">
        <v>209840</v>
      </c>
      <c r="D884" s="274">
        <v>106800</v>
      </c>
      <c r="E884" s="274">
        <v>109200</v>
      </c>
      <c r="F884" s="48">
        <f t="shared" si="16"/>
        <v>216000</v>
      </c>
      <c r="G884" s="274">
        <v>230400</v>
      </c>
    </row>
    <row r="885" spans="1:7" ht="15.75" x14ac:dyDescent="0.25">
      <c r="A885" s="262" t="s">
        <v>715</v>
      </c>
      <c r="B885" s="264" t="s">
        <v>566</v>
      </c>
      <c r="C885" s="48">
        <v>27000</v>
      </c>
      <c r="D885" s="274">
        <v>13500</v>
      </c>
      <c r="E885" s="274">
        <v>13500</v>
      </c>
      <c r="F885" s="48">
        <f t="shared" si="16"/>
        <v>27000</v>
      </c>
      <c r="G885" s="274">
        <v>28800</v>
      </c>
    </row>
    <row r="886" spans="1:7" ht="15.75" x14ac:dyDescent="0.25">
      <c r="A886" s="262" t="s">
        <v>716</v>
      </c>
      <c r="B886" s="264" t="s">
        <v>516</v>
      </c>
      <c r="C886" s="48">
        <v>460566</v>
      </c>
      <c r="D886" s="274">
        <v>230283</v>
      </c>
      <c r="E886" s="274">
        <v>230283</v>
      </c>
      <c r="F886" s="48">
        <f t="shared" si="16"/>
        <v>460566</v>
      </c>
      <c r="G886" s="274">
        <v>498204</v>
      </c>
    </row>
    <row r="887" spans="1:7" ht="15.75" x14ac:dyDescent="0.25">
      <c r="A887" s="262" t="s">
        <v>717</v>
      </c>
      <c r="B887" s="264" t="s">
        <v>527</v>
      </c>
      <c r="C887" s="48">
        <v>53643</v>
      </c>
      <c r="D887" s="274">
        <v>0</v>
      </c>
      <c r="E887" s="274">
        <v>75000</v>
      </c>
      <c r="F887" s="48">
        <f t="shared" si="16"/>
        <v>75000</v>
      </c>
      <c r="G887" s="274">
        <v>0</v>
      </c>
    </row>
    <row r="888" spans="1:7" ht="15.75" x14ac:dyDescent="0.25">
      <c r="A888" s="262" t="s">
        <v>829</v>
      </c>
      <c r="B888" s="264" t="s">
        <v>527</v>
      </c>
      <c r="C888" s="48">
        <v>0</v>
      </c>
      <c r="D888" s="274">
        <v>30000</v>
      </c>
      <c r="E888" s="274">
        <v>0</v>
      </c>
      <c r="F888" s="48">
        <f t="shared" si="16"/>
        <v>30000</v>
      </c>
      <c r="G888" s="274"/>
    </row>
    <row r="889" spans="1:7" ht="15.75" x14ac:dyDescent="0.25">
      <c r="A889" s="262" t="s">
        <v>721</v>
      </c>
      <c r="B889" s="264" t="s">
        <v>527</v>
      </c>
      <c r="C889" s="48">
        <v>324981</v>
      </c>
      <c r="D889" s="274">
        <v>0</v>
      </c>
      <c r="E889" s="274">
        <v>75000</v>
      </c>
      <c r="F889" s="48">
        <f t="shared" si="16"/>
        <v>75000</v>
      </c>
      <c r="G889" s="274">
        <v>80000</v>
      </c>
    </row>
    <row r="890" spans="1:7" ht="15.75" x14ac:dyDescent="0.25">
      <c r="A890" s="265" t="s">
        <v>722</v>
      </c>
      <c r="B890" s="276"/>
      <c r="C890" s="304">
        <f>SUM(C869:C889)</f>
        <v>6749017.9800000004</v>
      </c>
      <c r="D890" s="304">
        <f>SUM(D869:D889)</f>
        <v>3577891.56</v>
      </c>
      <c r="E890" s="304">
        <f>SUM(E869:E889)</f>
        <v>3543869.9</v>
      </c>
      <c r="F890" s="304">
        <f>SUM(F869:F889)</f>
        <v>7121761.46</v>
      </c>
      <c r="G890" s="304">
        <f>SUM(G869:G889)</f>
        <v>8301955.6300000008</v>
      </c>
    </row>
    <row r="891" spans="1:7" ht="16.5" x14ac:dyDescent="0.25">
      <c r="A891" s="338"/>
      <c r="B891" s="339"/>
      <c r="C891" s="340"/>
      <c r="D891" s="340"/>
      <c r="E891" s="340"/>
      <c r="F891" s="340"/>
      <c r="G891" s="340"/>
    </row>
    <row r="892" spans="1:7" ht="16.5" x14ac:dyDescent="0.25">
      <c r="A892" s="338"/>
      <c r="B892" s="339"/>
      <c r="C892" s="339"/>
      <c r="D892" s="339"/>
      <c r="E892" s="339"/>
      <c r="F892" s="339"/>
      <c r="G892" s="280" t="s">
        <v>873</v>
      </c>
    </row>
    <row r="893" spans="1:7" ht="16.5" x14ac:dyDescent="0.25">
      <c r="A893" s="338"/>
      <c r="B893" s="339"/>
      <c r="C893" s="339"/>
      <c r="D893" s="339"/>
      <c r="E893" s="339"/>
      <c r="F893" s="339"/>
      <c r="G893" s="339"/>
    </row>
    <row r="894" spans="1:7" ht="16.5" x14ac:dyDescent="0.25">
      <c r="A894" s="338"/>
      <c r="B894" s="339"/>
      <c r="C894" s="339"/>
      <c r="D894" s="339"/>
      <c r="E894" s="339"/>
      <c r="F894" s="339"/>
      <c r="G894" s="339"/>
    </row>
    <row r="895" spans="1:7" ht="16.5" x14ac:dyDescent="0.25">
      <c r="A895" s="248" t="s">
        <v>674</v>
      </c>
      <c r="B895" s="249"/>
      <c r="C895" s="249"/>
      <c r="D895" s="249"/>
      <c r="E895" s="249"/>
      <c r="F895" s="249" t="s">
        <v>655</v>
      </c>
      <c r="G895" s="250" t="s">
        <v>675</v>
      </c>
    </row>
    <row r="896" spans="1:7" ht="18" x14ac:dyDescent="0.25">
      <c r="A896" s="350" t="s">
        <v>827</v>
      </c>
      <c r="B896" s="350"/>
      <c r="C896" s="350"/>
      <c r="D896" s="350"/>
      <c r="E896" s="350"/>
      <c r="F896" s="350"/>
      <c r="G896" s="350"/>
    </row>
    <row r="897" spans="1:7" ht="16.5" x14ac:dyDescent="0.25">
      <c r="A897" s="330"/>
      <c r="B897" s="330"/>
      <c r="C897" s="330"/>
      <c r="D897" s="330"/>
      <c r="E897" s="330"/>
      <c r="F897" s="330"/>
      <c r="G897" s="330"/>
    </row>
    <row r="898" spans="1:7" ht="15.75" x14ac:dyDescent="0.25">
      <c r="A898" s="252" t="s">
        <v>874</v>
      </c>
      <c r="B898" s="253"/>
      <c r="C898" s="253"/>
      <c r="D898" s="253"/>
      <c r="E898" s="253"/>
      <c r="F898" s="253"/>
      <c r="G898" s="253"/>
    </row>
    <row r="899" spans="1:7" ht="15.75" x14ac:dyDescent="0.25">
      <c r="A899" s="252"/>
      <c r="B899" s="253"/>
      <c r="C899" s="253"/>
      <c r="D899" s="253"/>
      <c r="E899" s="253"/>
      <c r="F899" s="253"/>
      <c r="G899" s="253"/>
    </row>
    <row r="900" spans="1:7" ht="15.75" x14ac:dyDescent="0.25">
      <c r="A900" s="252" t="s">
        <v>655</v>
      </c>
      <c r="B900" s="253"/>
      <c r="C900" s="253"/>
      <c r="D900" s="253"/>
      <c r="E900" s="253"/>
      <c r="F900" s="253"/>
      <c r="G900" s="281"/>
    </row>
    <row r="901" spans="1:7" ht="15.75" x14ac:dyDescent="0.25">
      <c r="A901" s="351" t="s">
        <v>678</v>
      </c>
      <c r="B901" s="254" t="s">
        <v>679</v>
      </c>
      <c r="C901" s="254" t="s">
        <v>680</v>
      </c>
      <c r="D901" s="353" t="s">
        <v>681</v>
      </c>
      <c r="E901" s="354"/>
      <c r="F901" s="355"/>
      <c r="G901" s="254" t="s">
        <v>682</v>
      </c>
    </row>
    <row r="902" spans="1:7" ht="15.75" x14ac:dyDescent="0.25">
      <c r="A902" s="352"/>
      <c r="B902" s="255" t="s">
        <v>683</v>
      </c>
      <c r="C902" s="255" t="s">
        <v>684</v>
      </c>
      <c r="D902" s="255" t="s">
        <v>92</v>
      </c>
      <c r="E902" s="255" t="s">
        <v>93</v>
      </c>
      <c r="F902" s="356" t="s">
        <v>25</v>
      </c>
      <c r="G902" s="255" t="s">
        <v>454</v>
      </c>
    </row>
    <row r="903" spans="1:7" ht="15.75" x14ac:dyDescent="0.25">
      <c r="A903" s="352"/>
      <c r="B903" s="255"/>
      <c r="C903" s="255"/>
      <c r="D903" s="256" t="s">
        <v>684</v>
      </c>
      <c r="E903" s="256" t="s">
        <v>685</v>
      </c>
      <c r="F903" s="357"/>
      <c r="G903" s="255"/>
    </row>
    <row r="904" spans="1:7" ht="15.75" x14ac:dyDescent="0.25">
      <c r="A904" s="308" t="s">
        <v>686</v>
      </c>
      <c r="B904" s="258" t="s">
        <v>687</v>
      </c>
      <c r="C904" s="258" t="s">
        <v>688</v>
      </c>
      <c r="D904" s="259" t="s">
        <v>689</v>
      </c>
      <c r="E904" s="258" t="s">
        <v>690</v>
      </c>
      <c r="F904" s="258" t="s">
        <v>691</v>
      </c>
      <c r="G904" s="258" t="s">
        <v>692</v>
      </c>
    </row>
    <row r="905" spans="1:7" ht="31.5" x14ac:dyDescent="0.25">
      <c r="A905" s="323" t="s">
        <v>793</v>
      </c>
      <c r="B905" s="261"/>
      <c r="C905" s="261"/>
      <c r="D905" s="261"/>
      <c r="E905" s="261"/>
      <c r="F905" s="261"/>
      <c r="G905" s="284"/>
    </row>
    <row r="906" spans="1:7" ht="15.75" x14ac:dyDescent="0.25">
      <c r="A906" s="262" t="s">
        <v>724</v>
      </c>
      <c r="B906" s="264" t="s">
        <v>505</v>
      </c>
      <c r="C906" s="274">
        <v>119948.9</v>
      </c>
      <c r="D906" s="274">
        <v>77973</v>
      </c>
      <c r="E906" s="274">
        <v>42027</v>
      </c>
      <c r="F906" s="274">
        <f>E906+D906</f>
        <v>120000</v>
      </c>
      <c r="G906" s="274">
        <v>120000</v>
      </c>
    </row>
    <row r="907" spans="1:7" ht="15.75" x14ac:dyDescent="0.25">
      <c r="A907" s="262" t="s">
        <v>725</v>
      </c>
      <c r="B907" s="264" t="s">
        <v>532</v>
      </c>
      <c r="C907" s="274">
        <v>115156.2</v>
      </c>
      <c r="D907" s="274">
        <v>98792.75</v>
      </c>
      <c r="E907" s="274">
        <v>19887.25</v>
      </c>
      <c r="F907" s="274">
        <f>E907+D907</f>
        <v>118680</v>
      </c>
      <c r="G907" s="274">
        <v>118680</v>
      </c>
    </row>
    <row r="908" spans="1:7" ht="15.75" x14ac:dyDescent="0.25">
      <c r="A908" s="262" t="s">
        <v>729</v>
      </c>
      <c r="B908" s="264" t="s">
        <v>568</v>
      </c>
      <c r="C908" s="274">
        <v>14298</v>
      </c>
      <c r="D908" s="274">
        <v>6996</v>
      </c>
      <c r="E908" s="274">
        <v>7404</v>
      </c>
      <c r="F908" s="274">
        <f>E908+D908</f>
        <v>14400</v>
      </c>
      <c r="G908" s="274">
        <v>14400</v>
      </c>
    </row>
    <row r="909" spans="1:7" ht="15.75" x14ac:dyDescent="0.25">
      <c r="A909" s="262" t="s">
        <v>730</v>
      </c>
      <c r="B909" s="264" t="s">
        <v>529</v>
      </c>
      <c r="C909" s="274">
        <v>18500</v>
      </c>
      <c r="D909" s="274">
        <v>10400</v>
      </c>
      <c r="E909" s="274">
        <v>4600</v>
      </c>
      <c r="F909" s="274">
        <f>E909+D909</f>
        <v>15000</v>
      </c>
      <c r="G909" s="274">
        <v>15000</v>
      </c>
    </row>
    <row r="910" spans="1:7" ht="15.75" x14ac:dyDescent="0.25">
      <c r="A910" s="262" t="s">
        <v>795</v>
      </c>
      <c r="B910" s="264" t="s">
        <v>545</v>
      </c>
      <c r="C910" s="274">
        <v>5000</v>
      </c>
      <c r="D910" s="274">
        <v>0</v>
      </c>
      <c r="E910" s="274">
        <v>5000</v>
      </c>
      <c r="F910" s="274">
        <f>E910+D910</f>
        <v>5000</v>
      </c>
      <c r="G910" s="274">
        <v>5000</v>
      </c>
    </row>
    <row r="911" spans="1:7" ht="15.75" x14ac:dyDescent="0.25">
      <c r="A911" s="294" t="s">
        <v>281</v>
      </c>
      <c r="B911" s="263"/>
      <c r="C911" s="332">
        <f>SUM(C906:C910)</f>
        <v>272903.09999999998</v>
      </c>
      <c r="D911" s="332">
        <f>SUM(D906:D910)</f>
        <v>194161.75</v>
      </c>
      <c r="E911" s="332">
        <f>SUM(E906:E910)</f>
        <v>78918.25</v>
      </c>
      <c r="F911" s="332">
        <f>SUM(F906:F910)</f>
        <v>273080</v>
      </c>
      <c r="G911" s="332">
        <f>SUM(G906:G910)</f>
        <v>273080</v>
      </c>
    </row>
    <row r="912" spans="1:7" ht="15.75" x14ac:dyDescent="0.25">
      <c r="A912" s="294"/>
      <c r="B912" s="263"/>
      <c r="C912" s="333"/>
      <c r="D912" s="333"/>
      <c r="E912" s="333"/>
      <c r="F912" s="312"/>
      <c r="G912" s="332"/>
    </row>
    <row r="913" spans="1:7" ht="15.75" x14ac:dyDescent="0.25">
      <c r="A913" s="302" t="s">
        <v>796</v>
      </c>
      <c r="B913" s="263"/>
      <c r="C913" s="284"/>
      <c r="D913" s="284"/>
      <c r="E913" s="284"/>
      <c r="F913" s="48"/>
      <c r="G913" s="274" t="s">
        <v>655</v>
      </c>
    </row>
    <row r="914" spans="1:7" ht="15.75" x14ac:dyDescent="0.25">
      <c r="A914" s="262" t="s">
        <v>655</v>
      </c>
      <c r="B914" s="263"/>
      <c r="C914" s="284"/>
      <c r="D914" s="284"/>
      <c r="E914" s="284"/>
      <c r="F914" s="48" t="s">
        <v>655</v>
      </c>
      <c r="G914" s="274" t="s">
        <v>655</v>
      </c>
    </row>
    <row r="915" spans="1:7" ht="15.75" x14ac:dyDescent="0.25">
      <c r="A915" s="294" t="s">
        <v>282</v>
      </c>
      <c r="B915" s="263"/>
      <c r="C915" s="333"/>
      <c r="D915" s="333"/>
      <c r="E915" s="333"/>
      <c r="F915" s="312">
        <f>SUM(F914:F914)</f>
        <v>0</v>
      </c>
      <c r="G915" s="332"/>
    </row>
    <row r="916" spans="1:7" ht="15.75" x14ac:dyDescent="0.25">
      <c r="A916" s="294"/>
      <c r="B916" s="263"/>
      <c r="C916" s="284"/>
      <c r="D916" s="284"/>
      <c r="E916" s="284"/>
      <c r="F916" s="312"/>
      <c r="G916" s="332"/>
    </row>
    <row r="917" spans="1:7" ht="15.75" x14ac:dyDescent="0.25">
      <c r="A917" s="265" t="s">
        <v>279</v>
      </c>
      <c r="B917" s="313"/>
      <c r="C917" s="304">
        <f>C890+C911+C915</f>
        <v>7021921.0800000001</v>
      </c>
      <c r="D917" s="304">
        <f>D890+D911+D915</f>
        <v>3772053.31</v>
      </c>
      <c r="E917" s="304">
        <f>E890+E911+E915</f>
        <v>3622788.15</v>
      </c>
      <c r="F917" s="304">
        <f>F890+F911+F915</f>
        <v>7394841.46</v>
      </c>
      <c r="G917" s="304">
        <f>G890+G911+G915</f>
        <v>8575035.6300000008</v>
      </c>
    </row>
    <row r="918" spans="1:7" ht="15.75" x14ac:dyDescent="0.25">
      <c r="A918" s="252"/>
      <c r="B918" s="253"/>
      <c r="C918" s="253"/>
      <c r="D918" s="253"/>
      <c r="E918" s="253"/>
      <c r="F918" s="253"/>
      <c r="G918" s="253"/>
    </row>
    <row r="919" spans="1:7" ht="15.75" x14ac:dyDescent="0.25">
      <c r="A919" s="252" t="s">
        <v>798</v>
      </c>
      <c r="B919" s="253" t="s">
        <v>799</v>
      </c>
      <c r="C919" s="253"/>
      <c r="D919" s="253"/>
      <c r="E919" s="253" t="s">
        <v>651</v>
      </c>
      <c r="F919" s="341"/>
      <c r="G919" s="253"/>
    </row>
    <row r="920" spans="1:7" ht="15.75" x14ac:dyDescent="0.25">
      <c r="A920" s="252"/>
      <c r="B920" s="253"/>
      <c r="C920" s="253"/>
      <c r="D920" s="253"/>
      <c r="E920" s="253"/>
      <c r="F920" s="253"/>
      <c r="G920" s="253"/>
    </row>
    <row r="921" spans="1:7" ht="15.75" x14ac:dyDescent="0.25">
      <c r="A921" s="252"/>
      <c r="B921" s="253"/>
      <c r="C921" s="253"/>
      <c r="D921" s="253"/>
      <c r="E921" s="253"/>
      <c r="F921" s="253"/>
      <c r="G921" s="253"/>
    </row>
    <row r="922" spans="1:7" ht="15.75" x14ac:dyDescent="0.25">
      <c r="A922" s="252"/>
      <c r="B922" s="253"/>
      <c r="C922" s="253"/>
      <c r="D922" s="253"/>
      <c r="E922" s="253"/>
      <c r="F922" s="253"/>
      <c r="G922" s="253"/>
    </row>
    <row r="923" spans="1:7" ht="15.75" x14ac:dyDescent="0.25">
      <c r="A923" s="296" t="s">
        <v>875</v>
      </c>
      <c r="B923" s="359" t="s">
        <v>800</v>
      </c>
      <c r="C923" s="359"/>
      <c r="D923" s="359"/>
      <c r="E923" s="359" t="s">
        <v>778</v>
      </c>
      <c r="F923" s="359"/>
      <c r="G923" s="359"/>
    </row>
    <row r="924" spans="1:7" ht="15.75" x14ac:dyDescent="0.25">
      <c r="A924" s="298" t="s">
        <v>876</v>
      </c>
      <c r="B924" s="360" t="s">
        <v>780</v>
      </c>
      <c r="C924" s="360"/>
      <c r="D924" s="360"/>
      <c r="E924" s="300"/>
      <c r="F924" s="315" t="s">
        <v>802</v>
      </c>
      <c r="G924" s="315"/>
    </row>
    <row r="925" spans="1:7" ht="15.75" x14ac:dyDescent="0.25">
      <c r="A925" s="252"/>
      <c r="B925" s="253"/>
      <c r="C925" s="253"/>
      <c r="D925" s="253"/>
      <c r="E925" s="253"/>
      <c r="F925" s="253"/>
      <c r="G925" s="253"/>
    </row>
    <row r="926" spans="1:7" ht="15.75" x14ac:dyDescent="0.25">
      <c r="A926" s="252"/>
      <c r="B926" s="253"/>
      <c r="C926" s="253"/>
      <c r="D926" s="253"/>
      <c r="E926" s="253"/>
      <c r="F926" s="253"/>
      <c r="G926" s="280" t="s">
        <v>877</v>
      </c>
    </row>
    <row r="927" spans="1:7" ht="15.75" x14ac:dyDescent="0.25">
      <c r="A927" s="252"/>
      <c r="B927" s="253"/>
      <c r="C927" s="253"/>
      <c r="D927" s="253"/>
      <c r="E927" s="253"/>
      <c r="F927" s="253"/>
      <c r="G927" s="253"/>
    </row>
    <row r="928" spans="1:7" ht="16.5" x14ac:dyDescent="0.25">
      <c r="A928" s="326"/>
      <c r="B928" s="314"/>
      <c r="C928" s="314"/>
      <c r="D928" s="314"/>
      <c r="E928" s="314"/>
      <c r="F928" s="314"/>
      <c r="G928" s="314"/>
    </row>
    <row r="929" spans="1:7" ht="16.5" x14ac:dyDescent="0.25">
      <c r="A929" s="248" t="s">
        <v>674</v>
      </c>
      <c r="B929" s="249"/>
      <c r="C929" s="249"/>
      <c r="D929" s="249"/>
      <c r="E929" s="249"/>
      <c r="F929" s="249" t="s">
        <v>655</v>
      </c>
      <c r="G929" s="250" t="s">
        <v>675</v>
      </c>
    </row>
    <row r="930" spans="1:7" ht="18" x14ac:dyDescent="0.25">
      <c r="A930" s="350" t="s">
        <v>676</v>
      </c>
      <c r="B930" s="350"/>
      <c r="C930" s="350"/>
      <c r="D930" s="350"/>
      <c r="E930" s="350"/>
      <c r="F930" s="350"/>
      <c r="G930" s="350"/>
    </row>
    <row r="931" spans="1:7" ht="16.5" x14ac:dyDescent="0.25">
      <c r="A931" s="361" t="s">
        <v>655</v>
      </c>
      <c r="B931" s="361"/>
      <c r="C931" s="361"/>
      <c r="D931" s="361"/>
      <c r="E931" s="361"/>
      <c r="F931" s="361"/>
      <c r="G931" s="361"/>
    </row>
    <row r="932" spans="1:7" ht="15.75" x14ac:dyDescent="0.25">
      <c r="A932" s="252" t="s">
        <v>878</v>
      </c>
      <c r="B932" s="253"/>
      <c r="C932" s="253"/>
      <c r="D932" s="253"/>
      <c r="E932" s="253"/>
      <c r="F932" s="253"/>
      <c r="G932" s="253"/>
    </row>
    <row r="933" spans="1:7" ht="15.75" x14ac:dyDescent="0.25">
      <c r="A933" s="252"/>
      <c r="B933" s="253"/>
      <c r="C933" s="253"/>
      <c r="D933" s="253"/>
      <c r="E933" s="253"/>
      <c r="F933" s="253"/>
      <c r="G933" s="253"/>
    </row>
    <row r="934" spans="1:7" ht="15.75" x14ac:dyDescent="0.25">
      <c r="A934" s="252" t="s">
        <v>655</v>
      </c>
      <c r="B934" s="253"/>
      <c r="C934" s="253"/>
      <c r="D934" s="253"/>
      <c r="E934" s="253"/>
      <c r="F934" s="253"/>
      <c r="G934" s="281"/>
    </row>
    <row r="935" spans="1:7" ht="15.75" x14ac:dyDescent="0.25">
      <c r="A935" s="351" t="s">
        <v>678</v>
      </c>
      <c r="B935" s="254" t="s">
        <v>679</v>
      </c>
      <c r="C935" s="254" t="s">
        <v>680</v>
      </c>
      <c r="D935" s="353" t="s">
        <v>681</v>
      </c>
      <c r="E935" s="354"/>
      <c r="F935" s="355"/>
      <c r="G935" s="254" t="s">
        <v>682</v>
      </c>
    </row>
    <row r="936" spans="1:7" ht="15.75" x14ac:dyDescent="0.25">
      <c r="A936" s="352"/>
      <c r="B936" s="255" t="s">
        <v>683</v>
      </c>
      <c r="C936" s="255" t="s">
        <v>684</v>
      </c>
      <c r="D936" s="255" t="s">
        <v>92</v>
      </c>
      <c r="E936" s="255" t="s">
        <v>93</v>
      </c>
      <c r="F936" s="356" t="s">
        <v>25</v>
      </c>
      <c r="G936" s="255" t="s">
        <v>454</v>
      </c>
    </row>
    <row r="937" spans="1:7" ht="15.75" x14ac:dyDescent="0.25">
      <c r="A937" s="352"/>
      <c r="B937" s="255"/>
      <c r="C937" s="255"/>
      <c r="D937" s="256" t="s">
        <v>684</v>
      </c>
      <c r="E937" s="256" t="s">
        <v>685</v>
      </c>
      <c r="F937" s="357"/>
      <c r="G937" s="255"/>
    </row>
    <row r="938" spans="1:7" ht="15.75" x14ac:dyDescent="0.25">
      <c r="A938" s="308" t="s">
        <v>686</v>
      </c>
      <c r="B938" s="258" t="s">
        <v>687</v>
      </c>
      <c r="C938" s="258" t="s">
        <v>688</v>
      </c>
      <c r="D938" s="259" t="s">
        <v>689</v>
      </c>
      <c r="E938" s="258" t="s">
        <v>690</v>
      </c>
      <c r="F938" s="258" t="s">
        <v>691</v>
      </c>
      <c r="G938" s="258" t="s">
        <v>692</v>
      </c>
    </row>
    <row r="939" spans="1:7" ht="31.5" x14ac:dyDescent="0.25">
      <c r="A939" s="323" t="s">
        <v>793</v>
      </c>
      <c r="B939" s="261"/>
      <c r="C939" s="261"/>
      <c r="D939" s="261"/>
      <c r="E939" s="261"/>
      <c r="F939" s="261"/>
      <c r="G939" s="284"/>
    </row>
    <row r="940" spans="1:7" ht="15.75" x14ac:dyDescent="0.25">
      <c r="A940" s="262" t="s">
        <v>879</v>
      </c>
      <c r="B940" s="264" t="s">
        <v>505</v>
      </c>
      <c r="C940" s="263">
        <v>12250</v>
      </c>
      <c r="D940" s="263">
        <v>11239</v>
      </c>
      <c r="E940" s="263">
        <v>23761</v>
      </c>
      <c r="F940" s="263">
        <f>E940+D940</f>
        <v>35000</v>
      </c>
      <c r="G940" s="263">
        <v>30000</v>
      </c>
    </row>
    <row r="941" spans="1:7" ht="15.75" x14ac:dyDescent="0.25">
      <c r="A941" s="262" t="s">
        <v>880</v>
      </c>
      <c r="B941" s="264" t="s">
        <v>532</v>
      </c>
      <c r="C941" s="263">
        <v>12282</v>
      </c>
      <c r="D941" s="263">
        <v>6285</v>
      </c>
      <c r="E941" s="263">
        <v>2715</v>
      </c>
      <c r="F941" s="263">
        <f>E941+D941</f>
        <v>9000</v>
      </c>
      <c r="G941" s="263">
        <v>6000</v>
      </c>
    </row>
    <row r="942" spans="1:7" ht="15.75" x14ac:dyDescent="0.25">
      <c r="A942" s="262" t="s">
        <v>881</v>
      </c>
      <c r="B942" s="264" t="s">
        <v>568</v>
      </c>
      <c r="C942" s="263">
        <v>0</v>
      </c>
      <c r="D942" s="263">
        <v>0</v>
      </c>
      <c r="E942" s="263">
        <v>3000</v>
      </c>
      <c r="F942" s="263">
        <f>E942+D942</f>
        <v>3000</v>
      </c>
      <c r="G942" s="263">
        <v>3000</v>
      </c>
    </row>
    <row r="943" spans="1:7" ht="15.75" x14ac:dyDescent="0.25">
      <c r="A943" s="262" t="s">
        <v>882</v>
      </c>
      <c r="B943" s="264" t="s">
        <v>559</v>
      </c>
      <c r="C943" s="284">
        <v>2800</v>
      </c>
      <c r="D943" s="284">
        <v>3600</v>
      </c>
      <c r="E943" s="284">
        <v>-2600</v>
      </c>
      <c r="F943" s="263">
        <f>E943+D943</f>
        <v>1000</v>
      </c>
      <c r="G943" s="284">
        <v>1000</v>
      </c>
    </row>
    <row r="944" spans="1:7" ht="15.75" x14ac:dyDescent="0.25">
      <c r="A944" s="294" t="s">
        <v>281</v>
      </c>
      <c r="B944" s="263"/>
      <c r="C944" s="292">
        <f>SUM(C940:C943)</f>
        <v>27332</v>
      </c>
      <c r="D944" s="292">
        <f>SUM(D940:D943)</f>
        <v>21124</v>
      </c>
      <c r="E944" s="292">
        <f>SUM(E940:E943)</f>
        <v>26876</v>
      </c>
      <c r="F944" s="292">
        <f>SUM(F940:F943)</f>
        <v>48000</v>
      </c>
      <c r="G944" s="333">
        <f>SUM(G940:G943)</f>
        <v>40000</v>
      </c>
    </row>
    <row r="945" spans="1:7" ht="15.75" x14ac:dyDescent="0.25">
      <c r="A945" s="262"/>
      <c r="B945" s="263"/>
      <c r="C945" s="263"/>
      <c r="D945" s="263"/>
      <c r="E945" s="263"/>
      <c r="F945" s="263"/>
      <c r="G945" s="284"/>
    </row>
    <row r="946" spans="1:7" ht="15.75" x14ac:dyDescent="0.25">
      <c r="A946" s="302" t="s">
        <v>796</v>
      </c>
      <c r="B946" s="263"/>
      <c r="C946" s="263"/>
      <c r="D946" s="263"/>
      <c r="E946" s="263"/>
      <c r="F946" s="263"/>
      <c r="G946" s="284"/>
    </row>
    <row r="947" spans="1:7" ht="15.75" x14ac:dyDescent="0.25">
      <c r="A947" s="294" t="s">
        <v>282</v>
      </c>
      <c r="B947" s="263"/>
      <c r="C947" s="292">
        <v>0</v>
      </c>
      <c r="D947" s="292"/>
      <c r="E947" s="292"/>
      <c r="F947" s="292">
        <v>0</v>
      </c>
      <c r="G947" s="333">
        <v>0</v>
      </c>
    </row>
    <row r="948" spans="1:7" ht="15.75" x14ac:dyDescent="0.25">
      <c r="A948" s="262"/>
      <c r="B948" s="263"/>
      <c r="C948" s="263"/>
      <c r="D948" s="263"/>
      <c r="E948" s="263"/>
      <c r="F948" s="263"/>
      <c r="G948" s="284"/>
    </row>
    <row r="949" spans="1:7" ht="15.75" x14ac:dyDescent="0.25">
      <c r="A949" s="265" t="s">
        <v>279</v>
      </c>
      <c r="B949" s="313"/>
      <c r="C949" s="267">
        <f>C947+C944</f>
        <v>27332</v>
      </c>
      <c r="D949" s="267"/>
      <c r="E949" s="267"/>
      <c r="F949" s="267">
        <f>F947+F944</f>
        <v>48000</v>
      </c>
      <c r="G949" s="267">
        <f>G947+G944</f>
        <v>40000</v>
      </c>
    </row>
    <row r="950" spans="1:7" ht="15.75" x14ac:dyDescent="0.25">
      <c r="A950" s="252"/>
      <c r="B950" s="253"/>
      <c r="C950" s="253"/>
      <c r="D950" s="253"/>
      <c r="E950" s="253"/>
      <c r="F950" s="253"/>
      <c r="G950" s="253"/>
    </row>
    <row r="951" spans="1:7" ht="15.75" x14ac:dyDescent="0.25">
      <c r="A951" s="363" t="s">
        <v>853</v>
      </c>
      <c r="B951" s="363"/>
      <c r="C951" s="253" t="s">
        <v>651</v>
      </c>
      <c r="D951" s="253"/>
      <c r="E951" s="253"/>
      <c r="F951" s="334"/>
      <c r="G951" s="253"/>
    </row>
    <row r="952" spans="1:7" ht="15.75" x14ac:dyDescent="0.25">
      <c r="A952" s="252"/>
      <c r="B952" s="253"/>
      <c r="C952" s="253"/>
      <c r="D952" s="253"/>
      <c r="E952" s="253"/>
      <c r="F952" s="253"/>
      <c r="G952" s="253"/>
    </row>
    <row r="953" spans="1:7" ht="15.75" x14ac:dyDescent="0.25">
      <c r="A953" s="252"/>
      <c r="B953" s="253"/>
      <c r="C953" s="253"/>
      <c r="D953" s="253"/>
      <c r="E953" s="253"/>
      <c r="F953" s="253"/>
      <c r="G953" s="253"/>
    </row>
    <row r="954" spans="1:7" ht="15.75" x14ac:dyDescent="0.25">
      <c r="A954" s="364" t="s">
        <v>800</v>
      </c>
      <c r="B954" s="364"/>
      <c r="C954" s="359" t="s">
        <v>778</v>
      </c>
      <c r="D954" s="359"/>
      <c r="E954" s="359"/>
      <c r="F954" s="359"/>
      <c r="G954" s="359"/>
    </row>
    <row r="955" spans="1:7" ht="15.75" x14ac:dyDescent="0.25">
      <c r="A955" s="362" t="s">
        <v>854</v>
      </c>
      <c r="B955" s="362"/>
      <c r="C955" s="360" t="s">
        <v>802</v>
      </c>
      <c r="D955" s="360"/>
      <c r="E955" s="360"/>
      <c r="F955" s="360"/>
      <c r="G955" s="360"/>
    </row>
    <row r="956" spans="1:7" ht="15.75" x14ac:dyDescent="0.25">
      <c r="A956" s="252"/>
      <c r="B956" s="253"/>
      <c r="C956" s="253"/>
      <c r="D956" s="253"/>
      <c r="E956" s="253"/>
      <c r="F956" s="253"/>
      <c r="G956" s="253"/>
    </row>
  </sheetData>
  <sheetProtection password="8B65" sheet="1" objects="1" scenarios="1" selectLockedCells="1" selectUnlockedCells="1"/>
  <mergeCells count="158">
    <mergeCell ref="A951:B951"/>
    <mergeCell ref="A954:B954"/>
    <mergeCell ref="C954:G954"/>
    <mergeCell ref="A955:B955"/>
    <mergeCell ref="C955:G955"/>
    <mergeCell ref="B924:D924"/>
    <mergeCell ref="A930:G930"/>
    <mergeCell ref="A931:G931"/>
    <mergeCell ref="A935:A937"/>
    <mergeCell ref="D935:F935"/>
    <mergeCell ref="F936:F937"/>
    <mergeCell ref="F864:F865"/>
    <mergeCell ref="A896:G896"/>
    <mergeCell ref="A901:A903"/>
    <mergeCell ref="D901:F901"/>
    <mergeCell ref="F902:F903"/>
    <mergeCell ref="B923:D923"/>
    <mergeCell ref="E923:G923"/>
    <mergeCell ref="B848:D848"/>
    <mergeCell ref="E848:G848"/>
    <mergeCell ref="B849:D849"/>
    <mergeCell ref="E849:G849"/>
    <mergeCell ref="A859:G859"/>
    <mergeCell ref="D863:F863"/>
    <mergeCell ref="A791:A793"/>
    <mergeCell ref="D791:F791"/>
    <mergeCell ref="F792:F793"/>
    <mergeCell ref="A823:G823"/>
    <mergeCell ref="A827:A829"/>
    <mergeCell ref="D827:F827"/>
    <mergeCell ref="F828:F829"/>
    <mergeCell ref="B779:D779"/>
    <mergeCell ref="E779:G779"/>
    <mergeCell ref="B780:D780"/>
    <mergeCell ref="E780:G780"/>
    <mergeCell ref="A787:G787"/>
    <mergeCell ref="A788:G788"/>
    <mergeCell ref="A719:G719"/>
    <mergeCell ref="A722:A724"/>
    <mergeCell ref="D722:F722"/>
    <mergeCell ref="F723:F724"/>
    <mergeCell ref="A753:G753"/>
    <mergeCell ref="A757:A759"/>
    <mergeCell ref="D757:F757"/>
    <mergeCell ref="F758:F759"/>
    <mergeCell ref="A645:G645"/>
    <mergeCell ref="A649:A651"/>
    <mergeCell ref="D649:F649"/>
    <mergeCell ref="F650:F651"/>
    <mergeCell ref="A704:B704"/>
    <mergeCell ref="A707:B707"/>
    <mergeCell ref="C707:G707"/>
    <mergeCell ref="A708:B708"/>
    <mergeCell ref="A682:G682"/>
    <mergeCell ref="A686:A688"/>
    <mergeCell ref="D686:F686"/>
    <mergeCell ref="F687:F688"/>
    <mergeCell ref="C708:G708"/>
    <mergeCell ref="B638:D638"/>
    <mergeCell ref="E638:G638"/>
    <mergeCell ref="A611:G611"/>
    <mergeCell ref="A615:A617"/>
    <mergeCell ref="D615:F615"/>
    <mergeCell ref="F616:F617"/>
    <mergeCell ref="B637:D637"/>
    <mergeCell ref="E637:G637"/>
    <mergeCell ref="B567:D567"/>
    <mergeCell ref="E567:G567"/>
    <mergeCell ref="A574:G575"/>
    <mergeCell ref="A579:A581"/>
    <mergeCell ref="D579:F579"/>
    <mergeCell ref="F580:F581"/>
    <mergeCell ref="A539:G539"/>
    <mergeCell ref="A540:G540"/>
    <mergeCell ref="A543:A545"/>
    <mergeCell ref="D543:F543"/>
    <mergeCell ref="F544:F545"/>
    <mergeCell ref="B566:D566"/>
    <mergeCell ref="E566:G566"/>
    <mergeCell ref="B495:D495"/>
    <mergeCell ref="E495:G495"/>
    <mergeCell ref="B496:D496"/>
    <mergeCell ref="E496:G496"/>
    <mergeCell ref="A504:G504"/>
    <mergeCell ref="A507:A509"/>
    <mergeCell ref="D507:F507"/>
    <mergeCell ref="F508:F509"/>
    <mergeCell ref="A433:G433"/>
    <mergeCell ref="A437:A439"/>
    <mergeCell ref="D437:F437"/>
    <mergeCell ref="F438:F439"/>
    <mergeCell ref="A468:G468"/>
    <mergeCell ref="A472:A474"/>
    <mergeCell ref="D472:F472"/>
    <mergeCell ref="F473:F474"/>
    <mergeCell ref="A402:A404"/>
    <mergeCell ref="D402:F402"/>
    <mergeCell ref="F403:F404"/>
    <mergeCell ref="B424:D424"/>
    <mergeCell ref="E424:G424"/>
    <mergeCell ref="B425:D425"/>
    <mergeCell ref="E425:G425"/>
    <mergeCell ref="B353:D353"/>
    <mergeCell ref="E353:G353"/>
    <mergeCell ref="B354:D354"/>
    <mergeCell ref="E354:G354"/>
    <mergeCell ref="A365:A367"/>
    <mergeCell ref="D365:F365"/>
    <mergeCell ref="F366:F367"/>
    <mergeCell ref="A290:G290"/>
    <mergeCell ref="A294:A296"/>
    <mergeCell ref="D294:F294"/>
    <mergeCell ref="F295:F296"/>
    <mergeCell ref="A326:G326"/>
    <mergeCell ref="A330:A332"/>
    <mergeCell ref="D330:F330"/>
    <mergeCell ref="F331:F332"/>
    <mergeCell ref="A260:A262"/>
    <mergeCell ref="D260:F260"/>
    <mergeCell ref="F261:F262"/>
    <mergeCell ref="B286:D286"/>
    <mergeCell ref="E286:G286"/>
    <mergeCell ref="B287:D287"/>
    <mergeCell ref="E287:G287"/>
    <mergeCell ref="B212:D212"/>
    <mergeCell ref="A220:G220"/>
    <mergeCell ref="A224:A226"/>
    <mergeCell ref="D224:F224"/>
    <mergeCell ref="F225:F226"/>
    <mergeCell ref="A256:G256"/>
    <mergeCell ref="A184:G184"/>
    <mergeCell ref="A188:A190"/>
    <mergeCell ref="D188:F188"/>
    <mergeCell ref="F189:F190"/>
    <mergeCell ref="B211:D211"/>
    <mergeCell ref="E211:G211"/>
    <mergeCell ref="E139:G139"/>
    <mergeCell ref="E140:G140"/>
    <mergeCell ref="A148:G148"/>
    <mergeCell ref="A152:A154"/>
    <mergeCell ref="D152:F152"/>
    <mergeCell ref="F153:F154"/>
    <mergeCell ref="A74:G74"/>
    <mergeCell ref="A79:A81"/>
    <mergeCell ref="D79:F79"/>
    <mergeCell ref="F80:F81"/>
    <mergeCell ref="A111:G111"/>
    <mergeCell ref="A116:A118"/>
    <mergeCell ref="D116:F116"/>
    <mergeCell ref="F117:F118"/>
    <mergeCell ref="A2:G2"/>
    <mergeCell ref="A6:A8"/>
    <mergeCell ref="D6:F6"/>
    <mergeCell ref="F7:F8"/>
    <mergeCell ref="A38:G38"/>
    <mergeCell ref="A42:A44"/>
    <mergeCell ref="D42:F42"/>
    <mergeCell ref="F43:F44"/>
  </mergeCells>
  <pageMargins left="2.2000000000000002" right="0.7" top="0.75" bottom="0.25" header="0.3" footer="0.3"/>
  <pageSetup paperSize="5" scale="95" orientation="landscape" horizontalDpi="4294967293" verticalDpi="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11"/>
  <sheetViews>
    <sheetView zoomScale="75" zoomScaleNormal="75" workbookViewId="0">
      <selection activeCell="C20" sqref="C20"/>
    </sheetView>
  </sheetViews>
  <sheetFormatPr defaultRowHeight="15" x14ac:dyDescent="0.25"/>
  <cols>
    <col min="1" max="1" width="2.85546875" customWidth="1"/>
    <col min="2" max="2" width="3" customWidth="1"/>
    <col min="3" max="3" width="49.5703125" customWidth="1"/>
    <col min="4" max="4" width="12" customWidth="1"/>
    <col min="5" max="5" width="16" customWidth="1"/>
    <col min="6" max="6" width="16.140625" customWidth="1"/>
    <col min="7" max="7" width="17.42578125" customWidth="1"/>
    <col min="8" max="8" width="15.5703125" customWidth="1"/>
    <col min="9" max="9" width="22" hidden="1" customWidth="1"/>
    <col min="10" max="10" width="16.140625" hidden="1" customWidth="1"/>
    <col min="11" max="11" width="13.85546875" hidden="1" customWidth="1"/>
    <col min="12" max="12" width="18.85546875" hidden="1" customWidth="1"/>
    <col min="13" max="13" width="24.140625" hidden="1" customWidth="1"/>
    <col min="14" max="14" width="15.7109375" hidden="1" customWidth="1"/>
    <col min="15" max="15" width="17" customWidth="1"/>
    <col min="16" max="16" width="24.140625" hidden="1" customWidth="1"/>
    <col min="17" max="17" width="13.5703125" hidden="1" customWidth="1"/>
    <col min="18" max="18" width="15.5703125" customWidth="1"/>
    <col min="19" max="19" width="12.85546875" customWidth="1"/>
    <col min="20" max="21" width="11.42578125" customWidth="1"/>
    <col min="22" max="22" width="12.7109375" bestFit="1" customWidth="1"/>
    <col min="23" max="24" width="11.140625" customWidth="1"/>
    <col min="25" max="25" width="10.7109375" customWidth="1"/>
    <col min="26" max="26" width="9.85546875" customWidth="1"/>
    <col min="27" max="27" width="10.7109375" customWidth="1"/>
    <col min="28" max="28" width="11.85546875" customWidth="1"/>
    <col min="29" max="29" width="12.7109375" bestFit="1" customWidth="1"/>
    <col min="30" max="30" width="11.5703125" bestFit="1" customWidth="1"/>
    <col min="31" max="32" width="12.7109375" bestFit="1" customWidth="1"/>
    <col min="33" max="33" width="11.5703125" bestFit="1" customWidth="1"/>
    <col min="34" max="34" width="11.7109375" bestFit="1" customWidth="1"/>
    <col min="35" max="37" width="14.42578125" bestFit="1" customWidth="1"/>
    <col min="38" max="40" width="12.7109375" bestFit="1" customWidth="1"/>
  </cols>
  <sheetData>
    <row r="1" spans="1:17" x14ac:dyDescent="0.25">
      <c r="A1" t="s">
        <v>672</v>
      </c>
    </row>
    <row r="2" spans="1:17" ht="15.75" x14ac:dyDescent="0.25">
      <c r="A2" t="s">
        <v>673</v>
      </c>
      <c r="B2" s="11"/>
      <c r="C2" s="11"/>
      <c r="D2" s="11"/>
      <c r="E2" s="11"/>
      <c r="F2" s="11"/>
      <c r="G2" s="11"/>
      <c r="H2" s="11"/>
      <c r="O2" s="210" t="s">
        <v>655</v>
      </c>
    </row>
    <row r="3" spans="1:17" ht="30.75" customHeight="1" thickBot="1" x14ac:dyDescent="0.3">
      <c r="A3" s="370" t="s">
        <v>649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</row>
    <row r="4" spans="1:17" ht="15.75" thickBot="1" x14ac:dyDescent="0.3">
      <c r="A4" s="371" t="s">
        <v>81</v>
      </c>
      <c r="B4" s="372"/>
      <c r="C4" s="373"/>
      <c r="D4" s="211" t="s">
        <v>655</v>
      </c>
      <c r="E4" s="211" t="s">
        <v>655</v>
      </c>
      <c r="F4" s="367" t="s">
        <v>661</v>
      </c>
      <c r="G4" s="368"/>
      <c r="H4" s="369"/>
      <c r="I4" s="222"/>
      <c r="J4" s="222"/>
      <c r="K4" s="222"/>
      <c r="L4" s="222"/>
      <c r="M4" s="222"/>
      <c r="N4" s="222"/>
      <c r="O4" s="236" t="s">
        <v>655</v>
      </c>
    </row>
    <row r="5" spans="1:17" x14ac:dyDescent="0.25">
      <c r="A5" s="374"/>
      <c r="B5" s="375"/>
      <c r="C5" s="376"/>
      <c r="D5" s="212" t="s">
        <v>89</v>
      </c>
      <c r="E5" s="212" t="s">
        <v>91</v>
      </c>
      <c r="F5" s="212" t="s">
        <v>92</v>
      </c>
      <c r="G5" s="223" t="s">
        <v>93</v>
      </c>
      <c r="H5" s="240" t="s">
        <v>25</v>
      </c>
      <c r="I5" s="222"/>
      <c r="J5" s="222"/>
      <c r="K5" s="222"/>
      <c r="L5" s="222"/>
      <c r="M5" s="222"/>
      <c r="N5" s="222"/>
      <c r="O5" s="237" t="s">
        <v>650</v>
      </c>
    </row>
    <row r="6" spans="1:17" x14ac:dyDescent="0.25">
      <c r="A6" s="374"/>
      <c r="B6" s="375"/>
      <c r="C6" s="376"/>
      <c r="D6" s="212" t="s">
        <v>90</v>
      </c>
      <c r="E6" s="212">
        <v>2015</v>
      </c>
      <c r="F6" s="212">
        <v>2016</v>
      </c>
      <c r="G6" s="212">
        <v>2016</v>
      </c>
      <c r="H6" s="240">
        <v>2016</v>
      </c>
      <c r="I6" s="222" t="s">
        <v>225</v>
      </c>
      <c r="J6" s="222"/>
      <c r="K6" s="222"/>
      <c r="L6" s="222"/>
      <c r="M6" s="222"/>
      <c r="N6" s="222"/>
      <c r="O6" s="237">
        <v>2017</v>
      </c>
    </row>
    <row r="7" spans="1:17" ht="15.75" thickBot="1" x14ac:dyDescent="0.3">
      <c r="A7" s="374"/>
      <c r="B7" s="375"/>
      <c r="C7" s="376"/>
      <c r="D7" s="212"/>
      <c r="E7" s="212"/>
      <c r="F7" s="212" t="s">
        <v>95</v>
      </c>
      <c r="G7" s="212" t="s">
        <v>94</v>
      </c>
      <c r="H7" s="240"/>
      <c r="I7" s="222"/>
      <c r="J7" s="222"/>
      <c r="K7" s="222"/>
      <c r="L7" s="222"/>
      <c r="M7" s="222"/>
      <c r="N7" s="222"/>
      <c r="O7" s="237" t="s">
        <v>454</v>
      </c>
    </row>
    <row r="8" spans="1:17" ht="18.75" customHeight="1" x14ac:dyDescent="0.25">
      <c r="A8" s="104" t="s">
        <v>96</v>
      </c>
      <c r="B8" s="125" t="s">
        <v>97</v>
      </c>
      <c r="C8" s="105"/>
      <c r="D8" s="106"/>
      <c r="E8" s="107">
        <v>448262.16</v>
      </c>
      <c r="F8" s="108">
        <f>E193</f>
        <v>3174977.590000011</v>
      </c>
      <c r="G8" s="106"/>
      <c r="H8" s="107"/>
      <c r="I8" s="165"/>
      <c r="J8" s="165"/>
      <c r="K8" s="165"/>
      <c r="L8" s="165"/>
      <c r="M8" s="165"/>
      <c r="N8" s="165"/>
      <c r="O8" s="213"/>
      <c r="P8" s="203"/>
      <c r="Q8" s="203"/>
    </row>
    <row r="9" spans="1:17" x14ac:dyDescent="0.25">
      <c r="A9" s="109" t="s">
        <v>98</v>
      </c>
      <c r="B9" s="126" t="s">
        <v>99</v>
      </c>
      <c r="C9" s="33"/>
      <c r="D9" s="36"/>
      <c r="E9" s="38"/>
      <c r="F9" s="38"/>
      <c r="G9" s="38"/>
      <c r="H9" s="38"/>
      <c r="I9" s="89"/>
      <c r="J9" s="23"/>
      <c r="K9" s="23"/>
      <c r="L9" s="89"/>
      <c r="M9" s="23"/>
      <c r="N9" s="23"/>
      <c r="O9" s="110"/>
      <c r="P9" s="203">
        <v>5135549.46</v>
      </c>
      <c r="Q9" s="203"/>
    </row>
    <row r="10" spans="1:17" x14ac:dyDescent="0.25">
      <c r="A10" s="109"/>
      <c r="B10" s="32" t="s">
        <v>100</v>
      </c>
      <c r="C10" s="33" t="s">
        <v>101</v>
      </c>
      <c r="D10" s="36"/>
      <c r="E10" s="39"/>
      <c r="F10" s="39"/>
      <c r="G10" s="39"/>
      <c r="H10" s="39"/>
      <c r="I10" s="89"/>
      <c r="J10" s="23"/>
      <c r="K10" s="23"/>
      <c r="L10" s="23"/>
      <c r="M10" s="23"/>
      <c r="N10" s="23"/>
      <c r="O10" s="110"/>
      <c r="P10" s="203"/>
      <c r="Q10" s="203"/>
    </row>
    <row r="11" spans="1:17" hidden="1" x14ac:dyDescent="0.25">
      <c r="A11" s="109"/>
      <c r="B11" s="32"/>
      <c r="C11" s="33" t="s">
        <v>102</v>
      </c>
      <c r="D11" s="36">
        <v>582</v>
      </c>
      <c r="E11" s="39"/>
      <c r="F11" s="39"/>
      <c r="G11" s="39"/>
      <c r="H11" s="39"/>
      <c r="I11" s="23"/>
      <c r="J11" s="23"/>
      <c r="K11" s="23"/>
      <c r="L11" s="23"/>
      <c r="M11" s="23"/>
      <c r="N11" s="23"/>
      <c r="O11" s="110"/>
      <c r="P11" s="203"/>
      <c r="Q11" s="203"/>
    </row>
    <row r="12" spans="1:17" x14ac:dyDescent="0.25">
      <c r="A12" s="109"/>
      <c r="B12" s="32"/>
      <c r="C12" s="33" t="s">
        <v>103</v>
      </c>
      <c r="D12" s="36" t="s">
        <v>455</v>
      </c>
      <c r="E12" s="39">
        <v>143411.6</v>
      </c>
      <c r="F12" s="39">
        <v>133268.20000000001</v>
      </c>
      <c r="G12" s="78">
        <v>0</v>
      </c>
      <c r="H12" s="39">
        <f>SUM(F12:G12)</f>
        <v>133268.20000000001</v>
      </c>
      <c r="I12" s="99">
        <v>90000</v>
      </c>
      <c r="J12" s="89">
        <f>I12-F12</f>
        <v>-43268.200000000012</v>
      </c>
      <c r="K12" s="23"/>
      <c r="L12" s="89">
        <f>M12-F12</f>
        <v>-43268.200000000012</v>
      </c>
      <c r="M12" s="23">
        <v>90000</v>
      </c>
      <c r="N12" s="89">
        <f>H12-M12</f>
        <v>43268.200000000012</v>
      </c>
      <c r="O12" s="111">
        <v>120000</v>
      </c>
      <c r="P12" s="203">
        <v>100000</v>
      </c>
      <c r="Q12" s="203"/>
    </row>
    <row r="13" spans="1:17" x14ac:dyDescent="0.25">
      <c r="A13" s="109"/>
      <c r="B13" s="32"/>
      <c r="C13" s="33" t="s">
        <v>499</v>
      </c>
      <c r="D13" s="36" t="s">
        <v>456</v>
      </c>
      <c r="E13" s="39">
        <v>7300</v>
      </c>
      <c r="F13" s="39">
        <v>5400</v>
      </c>
      <c r="G13" s="78">
        <f>P13-F13</f>
        <v>600</v>
      </c>
      <c r="H13" s="39">
        <f>SUM(F13:G13)</f>
        <v>6000</v>
      </c>
      <c r="I13" s="99">
        <v>6000</v>
      </c>
      <c r="J13" s="89">
        <f t="shared" ref="J13:J84" si="0">I13-F13</f>
        <v>600</v>
      </c>
      <c r="K13" s="23"/>
      <c r="L13" s="89">
        <f t="shared" ref="L13:L53" si="1">M13-F13</f>
        <v>600</v>
      </c>
      <c r="M13" s="23">
        <v>6000</v>
      </c>
      <c r="N13" s="89">
        <f t="shared" ref="N13:N53" si="2">H13-M13</f>
        <v>0</v>
      </c>
      <c r="O13" s="111">
        <v>6000</v>
      </c>
      <c r="P13" s="203">
        <v>6000</v>
      </c>
      <c r="Q13" s="203"/>
    </row>
    <row r="14" spans="1:17" x14ac:dyDescent="0.25">
      <c r="A14" s="109"/>
      <c r="B14" s="32"/>
      <c r="C14" s="33" t="s">
        <v>500</v>
      </c>
      <c r="D14" s="36" t="s">
        <v>457</v>
      </c>
      <c r="E14" s="39">
        <v>352991.69</v>
      </c>
      <c r="F14" s="39">
        <v>243651.15</v>
      </c>
      <c r="G14" s="78">
        <f>P14-F14</f>
        <v>96348.85</v>
      </c>
      <c r="H14" s="39">
        <f>SUM(F14:G14)</f>
        <v>340000</v>
      </c>
      <c r="I14" s="99">
        <v>240000</v>
      </c>
      <c r="J14" s="89">
        <f t="shared" si="0"/>
        <v>-3651.1499999999942</v>
      </c>
      <c r="K14" s="23"/>
      <c r="L14" s="89">
        <f t="shared" si="1"/>
        <v>-3651.1499999999942</v>
      </c>
      <c r="M14" s="23">
        <v>240000</v>
      </c>
      <c r="N14" s="89">
        <f t="shared" si="2"/>
        <v>100000</v>
      </c>
      <c r="O14" s="111">
        <v>340000</v>
      </c>
      <c r="P14" s="203">
        <v>340000</v>
      </c>
      <c r="Q14" s="203"/>
    </row>
    <row r="15" spans="1:17" x14ac:dyDescent="0.25">
      <c r="A15" s="109"/>
      <c r="B15" s="32"/>
      <c r="C15" s="33" t="s">
        <v>370</v>
      </c>
      <c r="D15" s="36" t="s">
        <v>503</v>
      </c>
      <c r="E15" s="39">
        <v>441239.48</v>
      </c>
      <c r="F15" s="39"/>
      <c r="G15" s="78">
        <f t="shared" ref="G15:G27" si="3">P15-F15</f>
        <v>0</v>
      </c>
      <c r="H15" s="39">
        <f t="shared" ref="H15:H84" si="4">SUM(F15:G15)</f>
        <v>0</v>
      </c>
      <c r="I15" s="100"/>
      <c r="J15" s="89"/>
      <c r="K15" s="23"/>
      <c r="L15" s="89">
        <f t="shared" si="1"/>
        <v>0</v>
      </c>
      <c r="M15" s="23"/>
      <c r="N15" s="89">
        <f t="shared" si="2"/>
        <v>0</v>
      </c>
      <c r="O15" s="111"/>
      <c r="P15" s="203"/>
      <c r="Q15" s="203"/>
    </row>
    <row r="16" spans="1:17" x14ac:dyDescent="0.25">
      <c r="A16" s="109"/>
      <c r="B16" s="32"/>
      <c r="C16" s="33" t="s">
        <v>104</v>
      </c>
      <c r="D16" s="36" t="s">
        <v>458</v>
      </c>
      <c r="E16" s="39">
        <v>530661</v>
      </c>
      <c r="F16" s="39">
        <v>299017.23</v>
      </c>
      <c r="G16" s="78">
        <v>0</v>
      </c>
      <c r="H16" s="39">
        <f t="shared" si="4"/>
        <v>299017.23</v>
      </c>
      <c r="I16" s="100">
        <v>50000</v>
      </c>
      <c r="J16" s="89">
        <f t="shared" si="0"/>
        <v>-249017.22999999998</v>
      </c>
      <c r="K16" s="23"/>
      <c r="L16" s="89">
        <f t="shared" si="1"/>
        <v>-249017.22999999998</v>
      </c>
      <c r="M16" s="23">
        <v>50000</v>
      </c>
      <c r="N16" s="89">
        <f t="shared" si="2"/>
        <v>249017.22999999998</v>
      </c>
      <c r="O16" s="111">
        <v>100000</v>
      </c>
      <c r="P16" s="203">
        <v>100000</v>
      </c>
      <c r="Q16" s="203"/>
    </row>
    <row r="17" spans="1:17" x14ac:dyDescent="0.25">
      <c r="A17" s="109"/>
      <c r="B17" s="32"/>
      <c r="C17" s="33" t="s">
        <v>459</v>
      </c>
      <c r="D17" s="36" t="s">
        <v>460</v>
      </c>
      <c r="E17" s="39">
        <v>78942.06</v>
      </c>
      <c r="F17" s="39">
        <v>19224.37</v>
      </c>
      <c r="G17" s="78">
        <f t="shared" si="3"/>
        <v>20775.63</v>
      </c>
      <c r="H17" s="39">
        <f t="shared" si="4"/>
        <v>40000</v>
      </c>
      <c r="I17" s="23">
        <f>30000+10000</f>
        <v>40000</v>
      </c>
      <c r="J17" s="89">
        <f t="shared" si="0"/>
        <v>20775.63</v>
      </c>
      <c r="K17" s="23"/>
      <c r="L17" s="89">
        <f t="shared" si="1"/>
        <v>10775.630000000001</v>
      </c>
      <c r="M17" s="23">
        <v>30000</v>
      </c>
      <c r="N17" s="89">
        <f t="shared" si="2"/>
        <v>10000</v>
      </c>
      <c r="O17" s="111">
        <v>40000</v>
      </c>
      <c r="P17" s="203">
        <v>40000</v>
      </c>
      <c r="Q17" s="203"/>
    </row>
    <row r="18" spans="1:17" x14ac:dyDescent="0.25">
      <c r="A18" s="109"/>
      <c r="B18" s="32" t="s">
        <v>105</v>
      </c>
      <c r="C18" s="33" t="s">
        <v>106</v>
      </c>
      <c r="D18" s="36"/>
      <c r="E18" s="39"/>
      <c r="F18" s="39"/>
      <c r="G18" s="78">
        <f t="shared" si="3"/>
        <v>0</v>
      </c>
      <c r="H18" s="39"/>
      <c r="I18" s="23"/>
      <c r="J18" s="89">
        <f t="shared" si="0"/>
        <v>0</v>
      </c>
      <c r="K18" s="23"/>
      <c r="L18" s="89">
        <f t="shared" si="1"/>
        <v>0</v>
      </c>
      <c r="M18" s="23"/>
      <c r="N18" s="89">
        <f t="shared" si="2"/>
        <v>0</v>
      </c>
      <c r="O18" s="111"/>
      <c r="P18" s="203"/>
      <c r="Q18" s="203"/>
    </row>
    <row r="19" spans="1:17" x14ac:dyDescent="0.25">
      <c r="A19" s="109"/>
      <c r="B19" s="32"/>
      <c r="C19" s="33" t="s">
        <v>461</v>
      </c>
      <c r="D19" s="36" t="s">
        <v>463</v>
      </c>
      <c r="E19" s="39">
        <v>13900</v>
      </c>
      <c r="F19" s="39">
        <v>11200</v>
      </c>
      <c r="G19" s="78">
        <f t="shared" si="3"/>
        <v>1800</v>
      </c>
      <c r="H19" s="39">
        <f t="shared" si="4"/>
        <v>13000</v>
      </c>
      <c r="I19" s="100">
        <v>13000</v>
      </c>
      <c r="J19" s="89">
        <f t="shared" si="0"/>
        <v>1800</v>
      </c>
      <c r="K19" s="23"/>
      <c r="L19" s="89">
        <f t="shared" si="1"/>
        <v>1800</v>
      </c>
      <c r="M19" s="23">
        <v>13000</v>
      </c>
      <c r="N19" s="89">
        <f t="shared" si="2"/>
        <v>0</v>
      </c>
      <c r="O19" s="111">
        <v>13000</v>
      </c>
      <c r="P19" s="203">
        <v>13000</v>
      </c>
      <c r="Q19" s="203"/>
    </row>
    <row r="20" spans="1:17" x14ac:dyDescent="0.25">
      <c r="A20" s="109"/>
      <c r="B20" s="32"/>
      <c r="C20" s="33" t="s">
        <v>465</v>
      </c>
      <c r="D20" s="36" t="s">
        <v>464</v>
      </c>
      <c r="E20" s="39">
        <v>1235325.3600000001</v>
      </c>
      <c r="F20" s="39">
        <v>1321777.5</v>
      </c>
      <c r="G20" s="78">
        <v>0</v>
      </c>
      <c r="H20" s="39">
        <f t="shared" si="4"/>
        <v>1321777.5</v>
      </c>
      <c r="I20" s="99">
        <v>500000</v>
      </c>
      <c r="J20" s="89">
        <f t="shared" si="0"/>
        <v>-821777.5</v>
      </c>
      <c r="K20" s="23"/>
      <c r="L20" s="89">
        <f t="shared" si="1"/>
        <v>-721777.5</v>
      </c>
      <c r="M20" s="23">
        <v>600000</v>
      </c>
      <c r="N20" s="89">
        <f t="shared" si="2"/>
        <v>721777.5</v>
      </c>
      <c r="O20" s="111">
        <v>1255000</v>
      </c>
      <c r="P20" s="203">
        <f>700000+230200</f>
        <v>930200</v>
      </c>
      <c r="Q20" s="203"/>
    </row>
    <row r="21" spans="1:17" x14ac:dyDescent="0.25">
      <c r="A21" s="109"/>
      <c r="B21" s="32"/>
      <c r="C21" s="33" t="s">
        <v>504</v>
      </c>
      <c r="D21" s="36" t="s">
        <v>466</v>
      </c>
      <c r="E21" s="39">
        <v>160099</v>
      </c>
      <c r="F21" s="39">
        <v>103438</v>
      </c>
      <c r="G21" s="78">
        <f t="shared" si="3"/>
        <v>36562</v>
      </c>
      <c r="H21" s="39">
        <f t="shared" si="4"/>
        <v>140000</v>
      </c>
      <c r="I21" s="99">
        <v>140000</v>
      </c>
      <c r="J21" s="89">
        <f t="shared" si="0"/>
        <v>36562</v>
      </c>
      <c r="K21" s="23"/>
      <c r="L21" s="89">
        <f t="shared" si="1"/>
        <v>36562</v>
      </c>
      <c r="M21" s="23">
        <v>140000</v>
      </c>
      <c r="N21" s="89">
        <f t="shared" si="2"/>
        <v>0</v>
      </c>
      <c r="O21" s="111">
        <v>150000</v>
      </c>
      <c r="P21" s="203">
        <v>140000</v>
      </c>
      <c r="Q21" s="203"/>
    </row>
    <row r="22" spans="1:17" x14ac:dyDescent="0.25">
      <c r="A22" s="109"/>
      <c r="B22" s="32" t="s">
        <v>107</v>
      </c>
      <c r="C22" s="33" t="s">
        <v>108</v>
      </c>
      <c r="D22" s="36"/>
      <c r="E22" s="39"/>
      <c r="F22" s="39"/>
      <c r="G22" s="78">
        <f t="shared" si="3"/>
        <v>0</v>
      </c>
      <c r="H22" s="39"/>
      <c r="I22" s="23"/>
      <c r="J22" s="89">
        <f t="shared" si="0"/>
        <v>0</v>
      </c>
      <c r="K22" s="23"/>
      <c r="L22" s="89">
        <f t="shared" si="1"/>
        <v>0</v>
      </c>
      <c r="M22" s="23"/>
      <c r="N22" s="89">
        <f t="shared" si="2"/>
        <v>0</v>
      </c>
      <c r="O22" s="111"/>
      <c r="P22" s="203"/>
      <c r="Q22" s="203"/>
    </row>
    <row r="23" spans="1:17" x14ac:dyDescent="0.25">
      <c r="A23" s="109"/>
      <c r="B23" s="32"/>
      <c r="C23" s="33" t="s">
        <v>109</v>
      </c>
      <c r="D23" s="36" t="s">
        <v>462</v>
      </c>
      <c r="E23" s="39">
        <v>354225</v>
      </c>
      <c r="F23" s="39">
        <v>262910</v>
      </c>
      <c r="G23" s="78">
        <f t="shared" si="3"/>
        <v>27090</v>
      </c>
      <c r="H23" s="39">
        <f t="shared" si="4"/>
        <v>290000</v>
      </c>
      <c r="I23" s="23">
        <f>120000+80000</f>
        <v>200000</v>
      </c>
      <c r="J23" s="89">
        <f t="shared" si="0"/>
        <v>-62910</v>
      </c>
      <c r="K23" s="23"/>
      <c r="L23" s="89">
        <f t="shared" si="1"/>
        <v>17090</v>
      </c>
      <c r="M23" s="23">
        <f>200000+80000</f>
        <v>280000</v>
      </c>
      <c r="N23" s="89">
        <f t="shared" si="2"/>
        <v>10000</v>
      </c>
      <c r="O23" s="111">
        <v>320000</v>
      </c>
      <c r="P23" s="203">
        <v>290000</v>
      </c>
      <c r="Q23" s="203"/>
    </row>
    <row r="24" spans="1:17" x14ac:dyDescent="0.25">
      <c r="A24" s="109"/>
      <c r="B24" s="32"/>
      <c r="C24" s="33" t="s">
        <v>110</v>
      </c>
      <c r="D24" s="36" t="s">
        <v>467</v>
      </c>
      <c r="E24" s="39">
        <v>85820</v>
      </c>
      <c r="F24" s="39">
        <v>74305</v>
      </c>
      <c r="G24" s="78">
        <f t="shared" si="3"/>
        <v>695</v>
      </c>
      <c r="H24" s="39">
        <f t="shared" si="4"/>
        <v>75000</v>
      </c>
      <c r="I24" s="99">
        <v>50000</v>
      </c>
      <c r="J24" s="89">
        <f t="shared" si="0"/>
        <v>-24305</v>
      </c>
      <c r="K24" s="23"/>
      <c r="L24" s="89">
        <f t="shared" si="1"/>
        <v>-9305</v>
      </c>
      <c r="M24" s="23">
        <v>65000</v>
      </c>
      <c r="N24" s="89">
        <f t="shared" si="2"/>
        <v>10000</v>
      </c>
      <c r="O24" s="111">
        <v>80000</v>
      </c>
      <c r="P24" s="203">
        <v>75000</v>
      </c>
      <c r="Q24" s="203"/>
    </row>
    <row r="25" spans="1:17" x14ac:dyDescent="0.25">
      <c r="A25" s="109"/>
      <c r="B25" s="32"/>
      <c r="C25" s="33" t="s">
        <v>111</v>
      </c>
      <c r="D25" s="36" t="s">
        <v>468</v>
      </c>
      <c r="E25" s="39">
        <v>27219</v>
      </c>
      <c r="F25" s="39">
        <v>22929</v>
      </c>
      <c r="G25" s="78">
        <v>0</v>
      </c>
      <c r="H25" s="39">
        <f t="shared" si="4"/>
        <v>22929</v>
      </c>
      <c r="I25" s="23">
        <f>5000</f>
        <v>5000</v>
      </c>
      <c r="J25" s="89">
        <f t="shared" si="0"/>
        <v>-17929</v>
      </c>
      <c r="K25" s="23"/>
      <c r="L25" s="89">
        <f t="shared" si="1"/>
        <v>-7929</v>
      </c>
      <c r="M25" s="23">
        <v>15000</v>
      </c>
      <c r="N25" s="89">
        <f t="shared" si="2"/>
        <v>7929</v>
      </c>
      <c r="O25" s="111">
        <v>20000</v>
      </c>
      <c r="P25" s="203">
        <v>20000</v>
      </c>
      <c r="Q25" s="203"/>
    </row>
    <row r="26" spans="1:17" x14ac:dyDescent="0.25">
      <c r="A26" s="109"/>
      <c r="B26" s="32"/>
      <c r="C26" s="33" t="s">
        <v>469</v>
      </c>
      <c r="D26" s="36" t="s">
        <v>470</v>
      </c>
      <c r="E26" s="39">
        <v>45300</v>
      </c>
      <c r="F26" s="39">
        <v>39850</v>
      </c>
      <c r="G26" s="78">
        <v>0</v>
      </c>
      <c r="H26" s="39">
        <f t="shared" si="4"/>
        <v>39850</v>
      </c>
      <c r="I26" s="99">
        <v>15000</v>
      </c>
      <c r="J26" s="89">
        <f t="shared" si="0"/>
        <v>-24850</v>
      </c>
      <c r="K26" s="23"/>
      <c r="L26" s="89">
        <f t="shared" si="1"/>
        <v>-24850</v>
      </c>
      <c r="M26" s="23">
        <v>15000</v>
      </c>
      <c r="N26" s="89">
        <f t="shared" si="2"/>
        <v>24850</v>
      </c>
      <c r="O26" s="111">
        <v>20000</v>
      </c>
      <c r="P26" s="203">
        <v>20000</v>
      </c>
      <c r="Q26" s="203"/>
    </row>
    <row r="27" spans="1:17" x14ac:dyDescent="0.25">
      <c r="A27" s="109"/>
      <c r="B27" s="32"/>
      <c r="C27" s="33" t="s">
        <v>112</v>
      </c>
      <c r="D27" s="36" t="s">
        <v>471</v>
      </c>
      <c r="E27" s="39">
        <v>5985</v>
      </c>
      <c r="F27" s="39"/>
      <c r="G27" s="78">
        <f t="shared" si="3"/>
        <v>0</v>
      </c>
      <c r="H27" s="39">
        <f t="shared" si="4"/>
        <v>0</v>
      </c>
      <c r="I27" s="23"/>
      <c r="J27" s="89">
        <f t="shared" si="0"/>
        <v>0</v>
      </c>
      <c r="K27" s="23"/>
      <c r="L27" s="89">
        <f t="shared" si="1"/>
        <v>0</v>
      </c>
      <c r="M27" s="23">
        <v>0</v>
      </c>
      <c r="N27" s="89">
        <f t="shared" si="2"/>
        <v>0</v>
      </c>
      <c r="O27" s="111"/>
      <c r="P27" s="203"/>
      <c r="Q27" s="203"/>
    </row>
    <row r="28" spans="1:17" x14ac:dyDescent="0.25">
      <c r="A28" s="109"/>
      <c r="B28" s="32"/>
      <c r="C28" s="33" t="s">
        <v>113</v>
      </c>
      <c r="D28" s="36" t="s">
        <v>472</v>
      </c>
      <c r="E28" s="39">
        <v>111430</v>
      </c>
      <c r="F28" s="39">
        <v>159479</v>
      </c>
      <c r="G28" s="78">
        <v>0</v>
      </c>
      <c r="H28" s="39">
        <f t="shared" si="4"/>
        <v>159479</v>
      </c>
      <c r="I28" s="23">
        <f>25000+12000+10000+10000+20000</f>
        <v>77000</v>
      </c>
      <c r="J28" s="89">
        <f t="shared" si="0"/>
        <v>-82479</v>
      </c>
      <c r="K28" s="23"/>
      <c r="L28" s="89">
        <f t="shared" si="1"/>
        <v>-82479</v>
      </c>
      <c r="M28" s="23">
        <f>12000+10000+10000+20000+25000</f>
        <v>77000</v>
      </c>
      <c r="N28" s="89">
        <f t="shared" si="2"/>
        <v>82479</v>
      </c>
      <c r="O28" s="111">
        <v>157000</v>
      </c>
      <c r="P28" s="203">
        <v>152000</v>
      </c>
      <c r="Q28" s="203"/>
    </row>
    <row r="29" spans="1:17" x14ac:dyDescent="0.25">
      <c r="A29" s="109"/>
      <c r="B29" s="32"/>
      <c r="C29" s="33" t="s">
        <v>114</v>
      </c>
      <c r="D29" s="36" t="s">
        <v>473</v>
      </c>
      <c r="E29" s="39">
        <f>48853.3+4010</f>
        <v>52863.3</v>
      </c>
      <c r="F29" s="39">
        <v>24884</v>
      </c>
      <c r="G29" s="78">
        <v>0</v>
      </c>
      <c r="H29" s="39">
        <f t="shared" si="4"/>
        <v>24884</v>
      </c>
      <c r="I29" s="99">
        <v>4000</v>
      </c>
      <c r="J29" s="89">
        <f t="shared" si="0"/>
        <v>-20884</v>
      </c>
      <c r="K29" s="23"/>
      <c r="L29" s="89">
        <f t="shared" si="1"/>
        <v>-20884</v>
      </c>
      <c r="M29" s="23">
        <v>4000</v>
      </c>
      <c r="N29" s="89">
        <f t="shared" si="2"/>
        <v>20884</v>
      </c>
      <c r="O29" s="111">
        <v>10000</v>
      </c>
      <c r="P29" s="203">
        <v>14000</v>
      </c>
      <c r="Q29" s="203"/>
    </row>
    <row r="30" spans="1:17" x14ac:dyDescent="0.25">
      <c r="A30" s="109"/>
      <c r="B30" s="32" t="s">
        <v>116</v>
      </c>
      <c r="C30" s="33" t="s">
        <v>115</v>
      </c>
      <c r="D30" s="36"/>
      <c r="E30" s="39"/>
      <c r="F30" s="39"/>
      <c r="G30" s="39"/>
      <c r="H30" s="39"/>
      <c r="I30" s="23"/>
      <c r="J30" s="89">
        <f t="shared" si="0"/>
        <v>0</v>
      </c>
      <c r="K30" s="23"/>
      <c r="L30" s="89">
        <f t="shared" si="1"/>
        <v>0</v>
      </c>
      <c r="M30" s="23"/>
      <c r="N30" s="89">
        <f t="shared" si="2"/>
        <v>0</v>
      </c>
      <c r="O30" s="111"/>
      <c r="P30" s="203"/>
      <c r="Q30" s="203"/>
    </row>
    <row r="31" spans="1:17" hidden="1" x14ac:dyDescent="0.25">
      <c r="A31" s="109"/>
      <c r="B31" s="32"/>
      <c r="C31" s="33"/>
      <c r="D31" s="36"/>
      <c r="E31" s="39"/>
      <c r="F31" s="39"/>
      <c r="G31" s="39"/>
      <c r="H31" s="39"/>
      <c r="I31" s="23"/>
      <c r="J31" s="89"/>
      <c r="K31" s="23"/>
      <c r="L31" s="89"/>
      <c r="M31" s="23"/>
      <c r="N31" s="89"/>
      <c r="O31" s="111"/>
      <c r="P31" s="203"/>
      <c r="Q31" s="203"/>
    </row>
    <row r="32" spans="1:17" x14ac:dyDescent="0.25">
      <c r="A32" s="109"/>
      <c r="B32" s="32"/>
      <c r="C32" s="33" t="s">
        <v>474</v>
      </c>
      <c r="D32" s="36" t="s">
        <v>475</v>
      </c>
      <c r="E32" s="39">
        <v>578300</v>
      </c>
      <c r="F32" s="39">
        <v>219840</v>
      </c>
      <c r="G32" s="78">
        <f t="shared" ref="G32:G38" si="5">P32-F32</f>
        <v>536160</v>
      </c>
      <c r="H32" s="39">
        <f t="shared" si="4"/>
        <v>756000</v>
      </c>
      <c r="I32" s="99">
        <v>1500</v>
      </c>
      <c r="J32" s="89">
        <f t="shared" si="0"/>
        <v>-218340</v>
      </c>
      <c r="K32" s="23"/>
      <c r="L32" s="89">
        <f t="shared" si="1"/>
        <v>-218340</v>
      </c>
      <c r="M32" s="23">
        <v>1500</v>
      </c>
      <c r="N32" s="89">
        <f t="shared" si="2"/>
        <v>754500</v>
      </c>
      <c r="O32" s="111">
        <v>550000</v>
      </c>
      <c r="P32" s="203">
        <v>756000</v>
      </c>
      <c r="Q32" s="203"/>
    </row>
    <row r="33" spans="1:17" x14ac:dyDescent="0.25">
      <c r="A33" s="109"/>
      <c r="B33" s="32"/>
      <c r="C33" s="33" t="s">
        <v>480</v>
      </c>
      <c r="D33" s="36" t="s">
        <v>481</v>
      </c>
      <c r="E33" s="39">
        <v>486750</v>
      </c>
      <c r="F33" s="39">
        <v>311930</v>
      </c>
      <c r="G33" s="78">
        <f t="shared" si="5"/>
        <v>188070</v>
      </c>
      <c r="H33" s="39">
        <f>SUM(F33:G33)</f>
        <v>500000</v>
      </c>
      <c r="I33" s="99"/>
      <c r="J33" s="89"/>
      <c r="K33" s="23"/>
      <c r="L33" s="89"/>
      <c r="M33" s="23"/>
      <c r="N33" s="89"/>
      <c r="O33" s="111">
        <v>500000</v>
      </c>
      <c r="P33" s="203">
        <v>500000</v>
      </c>
      <c r="Q33" s="203"/>
    </row>
    <row r="34" spans="1:17" x14ac:dyDescent="0.25">
      <c r="A34" s="109"/>
      <c r="B34" s="32"/>
      <c r="C34" s="33" t="s">
        <v>483</v>
      </c>
      <c r="D34" s="36" t="s">
        <v>482</v>
      </c>
      <c r="E34" s="39">
        <v>117290</v>
      </c>
      <c r="F34" s="39">
        <v>105040</v>
      </c>
      <c r="G34" s="78">
        <f t="shared" si="5"/>
        <v>19960</v>
      </c>
      <c r="H34" s="39">
        <f>SUM(F34:G34)</f>
        <v>125000</v>
      </c>
      <c r="I34" s="99"/>
      <c r="J34" s="89"/>
      <c r="K34" s="23"/>
      <c r="L34" s="89"/>
      <c r="M34" s="23"/>
      <c r="N34" s="89"/>
      <c r="O34" s="111">
        <v>125000</v>
      </c>
      <c r="P34" s="203">
        <v>125000</v>
      </c>
      <c r="Q34" s="203"/>
    </row>
    <row r="35" spans="1:17" x14ac:dyDescent="0.25">
      <c r="A35" s="109"/>
      <c r="B35" s="32"/>
      <c r="C35" s="33" t="s">
        <v>477</v>
      </c>
      <c r="D35" s="36" t="s">
        <v>476</v>
      </c>
      <c r="E35" s="39">
        <v>409440</v>
      </c>
      <c r="F35" s="39">
        <v>248346</v>
      </c>
      <c r="G35" s="78">
        <f t="shared" si="5"/>
        <v>101654</v>
      </c>
      <c r="H35" s="39">
        <f t="shared" si="4"/>
        <v>350000</v>
      </c>
      <c r="I35" s="99">
        <v>854000</v>
      </c>
      <c r="J35" s="89">
        <f t="shared" si="0"/>
        <v>605654</v>
      </c>
      <c r="K35" s="23"/>
      <c r="L35" s="89">
        <f t="shared" si="1"/>
        <v>413654</v>
      </c>
      <c r="M35" s="23">
        <v>662000</v>
      </c>
      <c r="N35" s="89">
        <f t="shared" si="2"/>
        <v>-312000</v>
      </c>
      <c r="O35" s="111">
        <v>400000</v>
      </c>
      <c r="P35" s="203">
        <v>350000</v>
      </c>
      <c r="Q35" s="203"/>
    </row>
    <row r="36" spans="1:17" x14ac:dyDescent="0.25">
      <c r="A36" s="109"/>
      <c r="B36" s="32"/>
      <c r="C36" s="33" t="s">
        <v>479</v>
      </c>
      <c r="D36" s="36" t="s">
        <v>478</v>
      </c>
      <c r="E36" s="39">
        <v>223430</v>
      </c>
      <c r="F36" s="39">
        <v>100130</v>
      </c>
      <c r="G36" s="78">
        <f t="shared" si="5"/>
        <v>69870</v>
      </c>
      <c r="H36" s="39">
        <f t="shared" si="4"/>
        <v>170000</v>
      </c>
      <c r="I36" s="99">
        <v>230000</v>
      </c>
      <c r="J36" s="89">
        <f t="shared" si="0"/>
        <v>129870</v>
      </c>
      <c r="K36" s="23"/>
      <c r="L36" s="89">
        <f t="shared" si="1"/>
        <v>149870</v>
      </c>
      <c r="M36" s="23">
        <v>250000</v>
      </c>
      <c r="N36" s="89">
        <f t="shared" si="2"/>
        <v>-80000</v>
      </c>
      <c r="O36" s="111">
        <v>170000</v>
      </c>
      <c r="P36" s="203">
        <v>170000</v>
      </c>
      <c r="Q36" s="203"/>
    </row>
    <row r="37" spans="1:17" x14ac:dyDescent="0.25">
      <c r="A37" s="109"/>
      <c r="B37" s="32"/>
      <c r="C37" s="22" t="s">
        <v>501</v>
      </c>
      <c r="D37" s="121" t="s">
        <v>502</v>
      </c>
      <c r="E37" s="122">
        <v>3600</v>
      </c>
      <c r="F37" s="122">
        <v>1600</v>
      </c>
      <c r="G37" s="78">
        <v>0</v>
      </c>
      <c r="H37" s="39">
        <f t="shared" si="4"/>
        <v>1600</v>
      </c>
      <c r="I37" s="100"/>
      <c r="J37" s="89"/>
      <c r="K37" s="23"/>
      <c r="L37" s="89"/>
      <c r="M37" s="23"/>
      <c r="N37" s="89"/>
      <c r="O37" s="111">
        <v>1700</v>
      </c>
      <c r="P37" s="203">
        <v>1500</v>
      </c>
      <c r="Q37" s="203"/>
    </row>
    <row r="38" spans="1:17" x14ac:dyDescent="0.25">
      <c r="A38" s="109"/>
      <c r="B38" s="32"/>
      <c r="C38" s="22" t="s">
        <v>117</v>
      </c>
      <c r="D38" s="121" t="s">
        <v>484</v>
      </c>
      <c r="E38" s="122">
        <v>397729</v>
      </c>
      <c r="F38" s="122">
        <v>239425</v>
      </c>
      <c r="G38" s="78">
        <f t="shared" si="5"/>
        <v>110575</v>
      </c>
      <c r="H38" s="39">
        <f t="shared" si="4"/>
        <v>350000</v>
      </c>
      <c r="I38" s="23">
        <f>5000+225000</f>
        <v>230000</v>
      </c>
      <c r="J38" s="89">
        <f t="shared" si="0"/>
        <v>-9425</v>
      </c>
      <c r="K38" s="23"/>
      <c r="L38" s="89">
        <f t="shared" si="1"/>
        <v>-9425</v>
      </c>
      <c r="M38" s="23">
        <v>230000</v>
      </c>
      <c r="N38" s="89">
        <f t="shared" si="2"/>
        <v>120000</v>
      </c>
      <c r="O38" s="111">
        <v>350000</v>
      </c>
      <c r="P38" s="203">
        <v>350000</v>
      </c>
      <c r="Q38" s="203"/>
    </row>
    <row r="39" spans="1:17" hidden="1" x14ac:dyDescent="0.25">
      <c r="A39" s="109"/>
      <c r="B39" s="32"/>
      <c r="C39" s="22" t="s">
        <v>485</v>
      </c>
      <c r="D39" s="121"/>
      <c r="E39" s="122"/>
      <c r="F39" s="122"/>
      <c r="G39" s="78"/>
      <c r="H39" s="39"/>
      <c r="I39" s="23"/>
      <c r="J39" s="89"/>
      <c r="K39" s="23"/>
      <c r="L39" s="89"/>
      <c r="M39" s="23"/>
      <c r="N39" s="89"/>
      <c r="O39" s="111"/>
      <c r="P39" s="203"/>
      <c r="Q39" s="203"/>
    </row>
    <row r="40" spans="1:17" hidden="1" x14ac:dyDescent="0.25">
      <c r="A40" s="109"/>
      <c r="B40" s="32"/>
      <c r="C40" s="22" t="s">
        <v>486</v>
      </c>
      <c r="D40" s="121"/>
      <c r="E40" s="122"/>
      <c r="F40" s="122"/>
      <c r="G40" s="78"/>
      <c r="H40" s="39"/>
      <c r="I40" s="23"/>
      <c r="J40" s="89"/>
      <c r="K40" s="23"/>
      <c r="L40" s="89"/>
      <c r="M40" s="23"/>
      <c r="N40" s="89"/>
      <c r="O40" s="111"/>
      <c r="P40" s="203"/>
      <c r="Q40" s="203"/>
    </row>
    <row r="41" spans="1:17" ht="15.75" thickBot="1" x14ac:dyDescent="0.3">
      <c r="A41" s="114"/>
      <c r="B41" s="166"/>
      <c r="C41" s="167" t="s">
        <v>487</v>
      </c>
      <c r="D41" s="168" t="s">
        <v>488</v>
      </c>
      <c r="E41" s="169">
        <v>900</v>
      </c>
      <c r="F41" s="169"/>
      <c r="G41" s="170">
        <f>P41-F41</f>
        <v>0</v>
      </c>
      <c r="H41" s="177">
        <f>SUM(F41:G41)</f>
        <v>0</v>
      </c>
      <c r="I41" s="172"/>
      <c r="J41" s="173"/>
      <c r="K41" s="172"/>
      <c r="L41" s="173"/>
      <c r="M41" s="172"/>
      <c r="N41" s="173"/>
      <c r="O41" s="171">
        <v>4000</v>
      </c>
      <c r="P41" s="203"/>
      <c r="Q41" s="203"/>
    </row>
    <row r="42" spans="1:17" hidden="1" x14ac:dyDescent="0.25">
      <c r="A42" s="109"/>
      <c r="B42" s="32"/>
      <c r="C42" s="22" t="s">
        <v>489</v>
      </c>
      <c r="D42" s="121" t="s">
        <v>490</v>
      </c>
      <c r="E42" s="122"/>
      <c r="F42" s="122"/>
      <c r="G42" s="78">
        <f>P42-F42</f>
        <v>0</v>
      </c>
      <c r="H42" s="39">
        <f>SUM(F42:G42)</f>
        <v>0</v>
      </c>
      <c r="J42" s="21"/>
      <c r="L42" s="21"/>
      <c r="N42" s="21"/>
      <c r="O42" s="38"/>
      <c r="P42" s="203"/>
      <c r="Q42" s="203"/>
    </row>
    <row r="43" spans="1:17" hidden="1" x14ac:dyDescent="0.25">
      <c r="A43" s="109"/>
      <c r="B43" s="32"/>
      <c r="C43" s="22"/>
      <c r="D43" s="121"/>
      <c r="E43" s="122"/>
      <c r="F43" s="122"/>
      <c r="G43" s="78"/>
      <c r="H43" s="39"/>
      <c r="J43" s="21"/>
      <c r="L43" s="21"/>
      <c r="N43" s="21"/>
      <c r="O43" s="38"/>
      <c r="P43" s="203"/>
      <c r="Q43" s="203"/>
    </row>
    <row r="44" spans="1:17" ht="20.25" customHeight="1" x14ac:dyDescent="0.25">
      <c r="A44" s="109"/>
      <c r="B44" s="32" t="s">
        <v>118</v>
      </c>
      <c r="C44" s="33" t="s">
        <v>119</v>
      </c>
      <c r="D44" s="38"/>
      <c r="E44" s="39"/>
      <c r="F44" s="122"/>
      <c r="G44" s="39"/>
      <c r="H44" s="39"/>
      <c r="I44" s="23"/>
      <c r="J44" s="89">
        <f t="shared" si="0"/>
        <v>0</v>
      </c>
      <c r="K44" s="23"/>
      <c r="L44" s="89">
        <f t="shared" si="1"/>
        <v>0</v>
      </c>
      <c r="M44" s="23"/>
      <c r="N44" s="89">
        <f t="shared" si="2"/>
        <v>0</v>
      </c>
      <c r="O44" s="110"/>
      <c r="P44" s="203"/>
      <c r="Q44" s="203"/>
    </row>
    <row r="45" spans="1:17" hidden="1" x14ac:dyDescent="0.25">
      <c r="A45" s="109"/>
      <c r="B45" s="32"/>
      <c r="C45" s="33" t="s">
        <v>249</v>
      </c>
      <c r="D45" s="36">
        <v>657</v>
      </c>
      <c r="E45" s="39"/>
      <c r="F45" s="39"/>
      <c r="G45" s="78"/>
      <c r="H45" s="39">
        <f t="shared" si="4"/>
        <v>0</v>
      </c>
      <c r="I45" s="23"/>
      <c r="J45" s="89">
        <f t="shared" si="0"/>
        <v>0</v>
      </c>
      <c r="K45" s="23"/>
      <c r="L45" s="89">
        <f t="shared" si="1"/>
        <v>0</v>
      </c>
      <c r="M45" s="23"/>
      <c r="N45" s="89">
        <f t="shared" si="2"/>
        <v>0</v>
      </c>
      <c r="O45" s="110"/>
      <c r="P45" s="203"/>
      <c r="Q45" s="203"/>
    </row>
    <row r="46" spans="1:17" x14ac:dyDescent="0.25">
      <c r="A46" s="109"/>
      <c r="B46" s="32"/>
      <c r="C46" s="33" t="s">
        <v>120</v>
      </c>
      <c r="D46" s="36" t="s">
        <v>491</v>
      </c>
      <c r="E46" s="39">
        <v>55174.31</v>
      </c>
      <c r="F46" s="39">
        <v>28038.13</v>
      </c>
      <c r="G46" s="78">
        <v>0</v>
      </c>
      <c r="H46" s="39">
        <f t="shared" si="4"/>
        <v>28038.13</v>
      </c>
      <c r="I46" s="99">
        <v>25000</v>
      </c>
      <c r="J46" s="89">
        <f t="shared" si="0"/>
        <v>-3038.130000000001</v>
      </c>
      <c r="K46" s="23"/>
      <c r="L46" s="89">
        <f t="shared" si="1"/>
        <v>-3038.130000000001</v>
      </c>
      <c r="M46" s="23">
        <v>25000</v>
      </c>
      <c r="N46" s="89">
        <f t="shared" si="2"/>
        <v>3038.130000000001</v>
      </c>
      <c r="O46" s="111">
        <v>25000</v>
      </c>
      <c r="P46" s="203">
        <v>25000</v>
      </c>
      <c r="Q46" s="203"/>
    </row>
    <row r="47" spans="1:17" x14ac:dyDescent="0.25">
      <c r="A47" s="109"/>
      <c r="B47" s="32"/>
      <c r="C47" s="33" t="s">
        <v>492</v>
      </c>
      <c r="D47" s="36" t="s">
        <v>493</v>
      </c>
      <c r="E47" s="39">
        <v>68595906</v>
      </c>
      <c r="F47" s="39">
        <v>37755012</v>
      </c>
      <c r="G47" s="78">
        <f t="shared" ref="G47:G53" si="6">P47-F47</f>
        <v>37635584</v>
      </c>
      <c r="H47" s="39">
        <f t="shared" si="4"/>
        <v>75390596</v>
      </c>
      <c r="I47" s="99">
        <v>60020454</v>
      </c>
      <c r="J47" s="89">
        <f t="shared" si="0"/>
        <v>22265442</v>
      </c>
      <c r="K47" s="23"/>
      <c r="L47" s="89">
        <f t="shared" si="1"/>
        <v>30840894</v>
      </c>
      <c r="M47" s="23">
        <v>68595906</v>
      </c>
      <c r="N47" s="89">
        <f t="shared" si="2"/>
        <v>6794690</v>
      </c>
      <c r="O47" s="111">
        <v>85740774</v>
      </c>
      <c r="P47" s="203">
        <v>75390596</v>
      </c>
      <c r="Q47" s="203"/>
    </row>
    <row r="48" spans="1:17" hidden="1" x14ac:dyDescent="0.25">
      <c r="A48" s="109"/>
      <c r="B48" s="32"/>
      <c r="C48" s="33" t="s">
        <v>121</v>
      </c>
      <c r="D48" s="36">
        <v>668</v>
      </c>
      <c r="E48" s="39"/>
      <c r="F48" s="39"/>
      <c r="G48" s="78">
        <f t="shared" si="6"/>
        <v>0</v>
      </c>
      <c r="H48" s="39">
        <f t="shared" si="4"/>
        <v>0</v>
      </c>
      <c r="I48" s="23"/>
      <c r="J48" s="89">
        <f t="shared" si="0"/>
        <v>0</v>
      </c>
      <c r="K48" s="23"/>
      <c r="L48" s="89">
        <f t="shared" si="1"/>
        <v>0</v>
      </c>
      <c r="M48" s="23"/>
      <c r="N48" s="89">
        <f t="shared" si="2"/>
        <v>0</v>
      </c>
      <c r="O48" s="111"/>
      <c r="P48" s="203"/>
      <c r="Q48" s="203"/>
    </row>
    <row r="49" spans="1:17" hidden="1" x14ac:dyDescent="0.25">
      <c r="A49" s="109"/>
      <c r="B49" s="32"/>
      <c r="C49" s="33" t="s">
        <v>367</v>
      </c>
      <c r="D49" s="36" t="s">
        <v>494</v>
      </c>
      <c r="E49" s="39"/>
      <c r="F49" s="39"/>
      <c r="G49" s="78">
        <f t="shared" si="6"/>
        <v>0</v>
      </c>
      <c r="H49" s="39">
        <f t="shared" si="4"/>
        <v>0</v>
      </c>
      <c r="I49" s="23"/>
      <c r="J49" s="89"/>
      <c r="K49" s="23"/>
      <c r="L49" s="89">
        <f t="shared" si="1"/>
        <v>0</v>
      </c>
      <c r="M49" s="23"/>
      <c r="N49" s="89">
        <f t="shared" si="2"/>
        <v>0</v>
      </c>
      <c r="O49" s="111"/>
      <c r="P49" s="203"/>
      <c r="Q49" s="203"/>
    </row>
    <row r="50" spans="1:17" hidden="1" x14ac:dyDescent="0.25">
      <c r="A50" s="109"/>
      <c r="B50" s="32"/>
      <c r="C50" s="33" t="s">
        <v>122</v>
      </c>
      <c r="D50" s="36">
        <v>671</v>
      </c>
      <c r="E50" s="39"/>
      <c r="F50" s="39"/>
      <c r="G50" s="78">
        <f t="shared" si="6"/>
        <v>0</v>
      </c>
      <c r="H50" s="39">
        <f t="shared" si="4"/>
        <v>0</v>
      </c>
      <c r="I50" s="23"/>
      <c r="J50" s="89">
        <f t="shared" si="0"/>
        <v>0</v>
      </c>
      <c r="K50" s="23"/>
      <c r="L50" s="89">
        <f t="shared" si="1"/>
        <v>0</v>
      </c>
      <c r="M50" s="23"/>
      <c r="N50" s="89">
        <f t="shared" si="2"/>
        <v>0</v>
      </c>
      <c r="O50" s="111"/>
      <c r="P50" s="203"/>
      <c r="Q50" s="203"/>
    </row>
    <row r="51" spans="1:17" x14ac:dyDescent="0.25">
      <c r="A51" s="109"/>
      <c r="B51" s="32"/>
      <c r="C51" s="33" t="s">
        <v>123</v>
      </c>
      <c r="D51" s="36" t="s">
        <v>495</v>
      </c>
      <c r="E51" s="39">
        <v>276118.43</v>
      </c>
      <c r="F51" s="39">
        <v>31287.88</v>
      </c>
      <c r="G51" s="78">
        <f t="shared" si="6"/>
        <v>118712.12</v>
      </c>
      <c r="H51" s="39">
        <f t="shared" si="4"/>
        <v>150000</v>
      </c>
      <c r="I51" s="99">
        <v>10000</v>
      </c>
      <c r="J51" s="89">
        <f t="shared" si="0"/>
        <v>-21287.88</v>
      </c>
      <c r="K51" s="23"/>
      <c r="L51" s="89">
        <f t="shared" si="1"/>
        <v>28712.12</v>
      </c>
      <c r="M51" s="23">
        <v>60000</v>
      </c>
      <c r="N51" s="89">
        <f t="shared" si="2"/>
        <v>90000</v>
      </c>
      <c r="O51" s="111">
        <v>150000</v>
      </c>
      <c r="P51" s="203">
        <v>150000</v>
      </c>
      <c r="Q51" s="203"/>
    </row>
    <row r="52" spans="1:17" hidden="1" x14ac:dyDescent="0.25">
      <c r="A52" s="109"/>
      <c r="B52" s="32"/>
      <c r="C52" s="33" t="s">
        <v>496</v>
      </c>
      <c r="D52" s="36" t="s">
        <v>495</v>
      </c>
      <c r="E52" s="39"/>
      <c r="F52" s="39"/>
      <c r="G52" s="78">
        <f t="shared" si="6"/>
        <v>0</v>
      </c>
      <c r="H52" s="39">
        <f t="shared" si="4"/>
        <v>0</v>
      </c>
      <c r="I52" s="23"/>
      <c r="J52" s="89">
        <f t="shared" si="0"/>
        <v>0</v>
      </c>
      <c r="K52" s="23"/>
      <c r="L52" s="89">
        <f t="shared" si="1"/>
        <v>10000</v>
      </c>
      <c r="M52" s="23">
        <v>10000</v>
      </c>
      <c r="N52" s="89">
        <f t="shared" si="2"/>
        <v>-10000</v>
      </c>
      <c r="O52" s="110"/>
      <c r="P52" s="203"/>
      <c r="Q52" s="203"/>
    </row>
    <row r="53" spans="1:17" x14ac:dyDescent="0.25">
      <c r="A53" s="109"/>
      <c r="B53" s="32"/>
      <c r="C53" s="33" t="s">
        <v>497</v>
      </c>
      <c r="D53" s="36" t="s">
        <v>498</v>
      </c>
      <c r="E53" s="39">
        <v>5235</v>
      </c>
      <c r="F53" s="39"/>
      <c r="G53" s="78">
        <f t="shared" si="6"/>
        <v>0</v>
      </c>
      <c r="H53" s="39">
        <f t="shared" si="4"/>
        <v>0</v>
      </c>
      <c r="I53" s="23"/>
      <c r="J53" s="89">
        <f t="shared" si="0"/>
        <v>0</v>
      </c>
      <c r="K53" s="23"/>
      <c r="L53" s="89">
        <f t="shared" si="1"/>
        <v>0</v>
      </c>
      <c r="M53" s="23"/>
      <c r="N53" s="89">
        <f t="shared" si="2"/>
        <v>0</v>
      </c>
      <c r="O53" s="214"/>
      <c r="P53" s="203"/>
      <c r="Q53" s="203"/>
    </row>
    <row r="54" spans="1:17" x14ac:dyDescent="0.25">
      <c r="A54" s="112"/>
      <c r="B54" s="57"/>
      <c r="C54" s="58" t="s">
        <v>124</v>
      </c>
      <c r="D54" s="59"/>
      <c r="E54" s="60">
        <f>SUM(E11:E53)</f>
        <v>74796585.230000004</v>
      </c>
      <c r="F54" s="60">
        <f>SUM(F11:F53)</f>
        <v>41761982.460000001</v>
      </c>
      <c r="G54" s="60">
        <f>SUM(G11:G53)</f>
        <v>38964456.599999994</v>
      </c>
      <c r="H54" s="60">
        <f>SUM(H12:H53)</f>
        <v>80726439.060000002</v>
      </c>
      <c r="I54" s="101">
        <f>SUM(I11:I53)</f>
        <v>62800954</v>
      </c>
      <c r="J54" s="89">
        <f t="shared" si="0"/>
        <v>21038971.539999999</v>
      </c>
      <c r="K54" s="23"/>
      <c r="L54" s="89"/>
      <c r="M54" s="23">
        <f>SUM(M9:M53)</f>
        <v>71459406</v>
      </c>
      <c r="N54" s="23"/>
      <c r="O54" s="113">
        <f>SUM(O12:O53)</f>
        <v>90647474</v>
      </c>
      <c r="P54" s="203">
        <f>SUM(P12:P53)</f>
        <v>80058296</v>
      </c>
      <c r="Q54" s="203"/>
    </row>
    <row r="55" spans="1:17" x14ac:dyDescent="0.25">
      <c r="A55" s="109"/>
      <c r="B55" s="126" t="s">
        <v>125</v>
      </c>
      <c r="C55" s="33"/>
      <c r="D55" s="38"/>
      <c r="E55" s="39"/>
      <c r="F55" s="39"/>
      <c r="G55" s="39"/>
      <c r="H55" s="39">
        <f t="shared" si="4"/>
        <v>0</v>
      </c>
      <c r="I55" s="23"/>
      <c r="J55" s="89">
        <f t="shared" si="0"/>
        <v>0</v>
      </c>
      <c r="K55" s="23"/>
      <c r="L55" s="23"/>
      <c r="M55" s="23">
        <f>72449606-M54</f>
        <v>990200</v>
      </c>
      <c r="N55" s="23"/>
      <c r="O55" s="215"/>
      <c r="P55" s="203"/>
      <c r="Q55" s="203"/>
    </row>
    <row r="56" spans="1:17" x14ac:dyDescent="0.25">
      <c r="A56" s="109"/>
      <c r="B56" s="32"/>
      <c r="C56" s="33" t="s">
        <v>29</v>
      </c>
      <c r="D56" s="38"/>
      <c r="E56" s="39">
        <v>0</v>
      </c>
      <c r="F56" s="39"/>
      <c r="G56" s="39"/>
      <c r="H56" s="39">
        <f t="shared" si="4"/>
        <v>0</v>
      </c>
      <c r="I56" s="23"/>
      <c r="J56" s="89">
        <f t="shared" si="0"/>
        <v>0</v>
      </c>
      <c r="K56" s="23"/>
      <c r="L56" s="23"/>
      <c r="M56" s="23"/>
      <c r="N56" s="23"/>
      <c r="O56" s="110"/>
      <c r="P56" s="203"/>
      <c r="Q56" s="203"/>
    </row>
    <row r="57" spans="1:17" x14ac:dyDescent="0.25">
      <c r="A57" s="109"/>
      <c r="B57" s="32"/>
      <c r="C57" s="33" t="s">
        <v>126</v>
      </c>
      <c r="D57" s="38"/>
      <c r="E57" s="39">
        <f>SUM(E56)</f>
        <v>0</v>
      </c>
      <c r="F57" s="39">
        <f>SUM(F56)</f>
        <v>0</v>
      </c>
      <c r="G57" s="39">
        <f>SUM(G56)</f>
        <v>0</v>
      </c>
      <c r="H57" s="39">
        <f t="shared" si="4"/>
        <v>0</v>
      </c>
      <c r="I57" s="23"/>
      <c r="J57" s="89">
        <f t="shared" si="0"/>
        <v>0</v>
      </c>
      <c r="K57" s="23"/>
      <c r="L57" s="23"/>
      <c r="M57" s="23"/>
      <c r="N57" s="23"/>
      <c r="O57" s="214"/>
      <c r="P57" s="203"/>
      <c r="Q57" s="203"/>
    </row>
    <row r="58" spans="1:17" x14ac:dyDescent="0.25">
      <c r="A58" s="112"/>
      <c r="B58" s="127" t="s">
        <v>127</v>
      </c>
      <c r="C58" s="58"/>
      <c r="D58" s="59"/>
      <c r="E58" s="60">
        <f>E57+E54</f>
        <v>74796585.230000004</v>
      </c>
      <c r="F58" s="60">
        <f>F57+F54+F8</f>
        <v>44936960.050000012</v>
      </c>
      <c r="G58" s="60">
        <f>G57+G54</f>
        <v>38964456.599999994</v>
      </c>
      <c r="H58" s="60">
        <f>H57+H54+H8</f>
        <v>80726439.060000002</v>
      </c>
      <c r="I58" s="23"/>
      <c r="J58" s="89">
        <f t="shared" si="0"/>
        <v>-44936960.050000012</v>
      </c>
      <c r="K58" s="23"/>
      <c r="L58" s="89"/>
      <c r="M58" s="23"/>
      <c r="N58" s="23"/>
      <c r="O58" s="113">
        <f>O57+O54+O8</f>
        <v>90647474</v>
      </c>
      <c r="P58" s="204">
        <f>P57+P54+P8</f>
        <v>80058296</v>
      </c>
      <c r="Q58" s="203"/>
    </row>
    <row r="59" spans="1:17" ht="17.25" customHeight="1" x14ac:dyDescent="0.25">
      <c r="A59" s="109" t="s">
        <v>128</v>
      </c>
      <c r="B59" s="32"/>
      <c r="C59" s="33" t="s">
        <v>129</v>
      </c>
      <c r="D59" s="38"/>
      <c r="E59" s="39">
        <v>5135549.46</v>
      </c>
      <c r="F59" s="39"/>
      <c r="G59" s="39"/>
      <c r="H59" s="39">
        <f t="shared" si="4"/>
        <v>0</v>
      </c>
      <c r="I59" s="23"/>
      <c r="J59" s="89">
        <f t="shared" si="0"/>
        <v>0</v>
      </c>
      <c r="K59" s="23"/>
      <c r="L59" s="89"/>
      <c r="M59" s="23"/>
      <c r="N59" s="23"/>
      <c r="O59" s="215"/>
      <c r="P59" s="203"/>
      <c r="Q59" s="203"/>
    </row>
    <row r="60" spans="1:17" ht="2.25" customHeight="1" x14ac:dyDescent="0.25">
      <c r="A60" s="109"/>
      <c r="B60" s="32"/>
      <c r="C60" s="33" t="s">
        <v>453</v>
      </c>
      <c r="D60" s="38"/>
      <c r="E60" s="39"/>
      <c r="F60" s="39"/>
      <c r="G60" s="39"/>
      <c r="H60" s="39"/>
      <c r="I60" s="23"/>
      <c r="J60" s="89"/>
      <c r="K60" s="23"/>
      <c r="L60" s="89"/>
      <c r="M60" s="23"/>
      <c r="N60" s="23"/>
      <c r="O60" s="110"/>
      <c r="P60" s="203"/>
      <c r="Q60" s="203"/>
    </row>
    <row r="61" spans="1:17" ht="15" customHeight="1" thickBot="1" x14ac:dyDescent="0.3">
      <c r="A61" s="114" t="s">
        <v>130</v>
      </c>
      <c r="B61" s="128" t="s">
        <v>131</v>
      </c>
      <c r="C61" s="61"/>
      <c r="D61" s="62"/>
      <c r="E61" s="63">
        <f>E8+E58-E59</f>
        <v>70109297.930000007</v>
      </c>
      <c r="F61" s="63">
        <f>F58-F59-F60</f>
        <v>44936960.050000012</v>
      </c>
      <c r="G61" s="63">
        <f>G58-G59</f>
        <v>38964456.599999994</v>
      </c>
      <c r="H61" s="63">
        <f>H58-H59</f>
        <v>80726439.060000002</v>
      </c>
      <c r="I61" s="23"/>
      <c r="J61" s="89">
        <f t="shared" si="0"/>
        <v>-44936960.050000012</v>
      </c>
      <c r="K61" s="23"/>
      <c r="L61" s="89"/>
      <c r="M61" s="23"/>
      <c r="N61" s="23"/>
      <c r="O61" s="131">
        <f>O58-O59</f>
        <v>90647474</v>
      </c>
      <c r="P61" s="205">
        <f>P58-P59-P60</f>
        <v>80058296</v>
      </c>
      <c r="Q61" s="203"/>
    </row>
    <row r="62" spans="1:17" ht="18" customHeight="1" x14ac:dyDescent="0.25">
      <c r="A62" s="104" t="s">
        <v>132</v>
      </c>
      <c r="B62" s="159" t="s">
        <v>133</v>
      </c>
      <c r="C62" s="105"/>
      <c r="D62" s="160"/>
      <c r="E62" s="129"/>
      <c r="F62" s="129"/>
      <c r="G62" s="129"/>
      <c r="H62" s="129">
        <f t="shared" si="4"/>
        <v>0</v>
      </c>
      <c r="I62" s="23"/>
      <c r="J62" s="89">
        <f t="shared" si="0"/>
        <v>0</v>
      </c>
      <c r="K62" s="23"/>
      <c r="L62" s="23"/>
      <c r="M62" s="23"/>
      <c r="N62" s="23"/>
      <c r="O62" s="110"/>
      <c r="P62" s="203"/>
      <c r="Q62" s="203"/>
    </row>
    <row r="63" spans="1:17" ht="12.75" customHeight="1" x14ac:dyDescent="0.25">
      <c r="A63" s="109"/>
      <c r="B63" s="32"/>
      <c r="C63" s="33" t="s">
        <v>134</v>
      </c>
      <c r="D63" s="38"/>
      <c r="E63" s="39"/>
      <c r="F63" s="39"/>
      <c r="G63" s="39"/>
      <c r="H63" s="39">
        <f t="shared" si="4"/>
        <v>0</v>
      </c>
      <c r="I63" s="23"/>
      <c r="J63" s="89">
        <f t="shared" si="0"/>
        <v>0</v>
      </c>
      <c r="K63" s="23"/>
      <c r="L63" s="23"/>
      <c r="M63" s="23"/>
      <c r="N63" s="23"/>
      <c r="O63" s="110"/>
      <c r="P63" s="203"/>
      <c r="Q63" s="203"/>
    </row>
    <row r="64" spans="1:17" x14ac:dyDescent="0.25">
      <c r="A64" s="109"/>
      <c r="B64" s="32" t="s">
        <v>135</v>
      </c>
      <c r="C64" s="123" t="s">
        <v>136</v>
      </c>
      <c r="D64" s="38"/>
      <c r="E64" s="39"/>
      <c r="F64" s="39"/>
      <c r="G64" s="39"/>
      <c r="H64" s="39">
        <f t="shared" si="4"/>
        <v>0</v>
      </c>
      <c r="I64" s="23"/>
      <c r="J64" s="89">
        <f t="shared" si="0"/>
        <v>0</v>
      </c>
      <c r="K64" s="23"/>
      <c r="L64" s="23"/>
      <c r="M64" s="23"/>
      <c r="N64" s="23"/>
      <c r="O64" s="110"/>
      <c r="P64" s="203"/>
      <c r="Q64" s="203"/>
    </row>
    <row r="65" spans="1:17" x14ac:dyDescent="0.25">
      <c r="A65" s="109"/>
      <c r="B65" s="32"/>
      <c r="C65" s="33" t="s">
        <v>137</v>
      </c>
      <c r="D65" s="36" t="s">
        <v>505</v>
      </c>
      <c r="E65" s="39">
        <v>20734036.5</v>
      </c>
      <c r="F65" s="39">
        <v>11508096</v>
      </c>
      <c r="G65" s="78">
        <f t="shared" ref="G65:G86" si="7">P65-F65</f>
        <v>11880369</v>
      </c>
      <c r="H65" s="39">
        <f t="shared" si="4"/>
        <v>23388465</v>
      </c>
      <c r="I65" s="99">
        <v>21014172</v>
      </c>
      <c r="J65" s="89">
        <f t="shared" si="0"/>
        <v>9506076</v>
      </c>
      <c r="K65" s="89">
        <f>I65-H65</f>
        <v>-2374293</v>
      </c>
      <c r="L65" s="89">
        <f>M65-F65</f>
        <v>9973776</v>
      </c>
      <c r="M65" s="23">
        <v>21481872</v>
      </c>
      <c r="N65" s="89">
        <f t="shared" ref="N65:N134" si="8">H65-M65</f>
        <v>1906593</v>
      </c>
      <c r="O65" s="111">
        <v>27166032</v>
      </c>
      <c r="P65" s="203">
        <f>21503988+35298-151689+2000868</f>
        <v>23388465</v>
      </c>
      <c r="Q65" s="203"/>
    </row>
    <row r="66" spans="1:17" x14ac:dyDescent="0.25">
      <c r="A66" s="109"/>
      <c r="B66" s="32"/>
      <c r="C66" s="33" t="s">
        <v>506</v>
      </c>
      <c r="D66" s="36" t="s">
        <v>507</v>
      </c>
      <c r="E66" s="39">
        <v>77810</v>
      </c>
      <c r="F66" s="39"/>
      <c r="G66" s="78">
        <f t="shared" si="7"/>
        <v>0</v>
      </c>
      <c r="H66" s="39">
        <f t="shared" si="4"/>
        <v>0</v>
      </c>
      <c r="I66" s="99">
        <v>80000</v>
      </c>
      <c r="J66" s="89">
        <f t="shared" si="0"/>
        <v>80000</v>
      </c>
      <c r="K66" s="89">
        <f t="shared" ref="K66:K138" si="9">I66-H66</f>
        <v>80000</v>
      </c>
      <c r="L66" s="89">
        <f t="shared" ref="L66:L135" si="10">M66-F66</f>
        <v>0</v>
      </c>
      <c r="M66" s="23"/>
      <c r="N66" s="89">
        <f t="shared" si="8"/>
        <v>0</v>
      </c>
      <c r="O66" s="111"/>
      <c r="P66" s="203"/>
      <c r="Q66" s="203"/>
    </row>
    <row r="67" spans="1:17" x14ac:dyDescent="0.25">
      <c r="A67" s="109"/>
      <c r="B67" s="32"/>
      <c r="C67" s="33" t="s">
        <v>138</v>
      </c>
      <c r="D67" s="36" t="s">
        <v>508</v>
      </c>
      <c r="E67" s="39">
        <v>2117818.2000000002</v>
      </c>
      <c r="F67" s="39">
        <v>1092000</v>
      </c>
      <c r="G67" s="78">
        <f t="shared" si="7"/>
        <v>1116000</v>
      </c>
      <c r="H67" s="39">
        <f t="shared" si="4"/>
        <v>2208000</v>
      </c>
      <c r="I67" s="148">
        <v>2112000</v>
      </c>
      <c r="J67" s="89">
        <f t="shared" si="0"/>
        <v>1020000</v>
      </c>
      <c r="K67" s="89">
        <f t="shared" si="9"/>
        <v>-96000</v>
      </c>
      <c r="L67" s="89">
        <f t="shared" si="10"/>
        <v>1116000</v>
      </c>
      <c r="M67" s="23">
        <v>2208000</v>
      </c>
      <c r="N67" s="89">
        <f t="shared" si="8"/>
        <v>0</v>
      </c>
      <c r="O67" s="111">
        <v>2352000</v>
      </c>
      <c r="P67" s="203">
        <v>2208000</v>
      </c>
      <c r="Q67" s="203"/>
    </row>
    <row r="68" spans="1:17" x14ac:dyDescent="0.25">
      <c r="A68" s="109"/>
      <c r="B68" s="32"/>
      <c r="C68" s="33" t="s">
        <v>139</v>
      </c>
      <c r="D68" s="36" t="s">
        <v>509</v>
      </c>
      <c r="E68" s="39">
        <v>1552500</v>
      </c>
      <c r="F68" s="39">
        <v>776250</v>
      </c>
      <c r="G68" s="78">
        <f t="shared" si="7"/>
        <v>843750</v>
      </c>
      <c r="H68" s="39">
        <f t="shared" si="4"/>
        <v>1620000</v>
      </c>
      <c r="I68" s="99">
        <v>1620000</v>
      </c>
      <c r="J68" s="89">
        <f t="shared" si="0"/>
        <v>843750</v>
      </c>
      <c r="K68" s="89">
        <f t="shared" si="9"/>
        <v>0</v>
      </c>
      <c r="L68" s="89">
        <f t="shared" si="10"/>
        <v>821250</v>
      </c>
      <c r="M68" s="23">
        <v>1597500</v>
      </c>
      <c r="N68" s="89">
        <f t="shared" si="8"/>
        <v>22500</v>
      </c>
      <c r="O68" s="111">
        <v>1620000</v>
      </c>
      <c r="P68" s="203">
        <f>1597500+22500</f>
        <v>1620000</v>
      </c>
      <c r="Q68" s="203">
        <f>45000/2</f>
        <v>22500</v>
      </c>
    </row>
    <row r="69" spans="1:17" x14ac:dyDescent="0.25">
      <c r="A69" s="109"/>
      <c r="B69" s="32"/>
      <c r="C69" s="33" t="s">
        <v>140</v>
      </c>
      <c r="D69" s="36" t="s">
        <v>510</v>
      </c>
      <c r="E69" s="39">
        <v>1552500</v>
      </c>
      <c r="F69" s="39">
        <v>776250</v>
      </c>
      <c r="G69" s="78">
        <f t="shared" si="7"/>
        <v>843750</v>
      </c>
      <c r="H69" s="39">
        <f t="shared" si="4"/>
        <v>1620000</v>
      </c>
      <c r="I69" s="99">
        <v>1620000</v>
      </c>
      <c r="J69" s="89">
        <f t="shared" si="0"/>
        <v>843750</v>
      </c>
      <c r="K69" s="89">
        <f t="shared" si="9"/>
        <v>0</v>
      </c>
      <c r="L69" s="89">
        <f t="shared" si="10"/>
        <v>821250</v>
      </c>
      <c r="M69" s="23">
        <v>1597500</v>
      </c>
      <c r="N69" s="89">
        <f t="shared" si="8"/>
        <v>22500</v>
      </c>
      <c r="O69" s="111">
        <v>1620000</v>
      </c>
      <c r="P69" s="203">
        <f>1597500+22500</f>
        <v>1620000</v>
      </c>
      <c r="Q69" s="203"/>
    </row>
    <row r="70" spans="1:17" x14ac:dyDescent="0.25">
      <c r="A70" s="109"/>
      <c r="B70" s="32"/>
      <c r="C70" s="33" t="s">
        <v>141</v>
      </c>
      <c r="D70" s="36" t="s">
        <v>511</v>
      </c>
      <c r="E70" s="39">
        <v>430000</v>
      </c>
      <c r="F70" s="39">
        <v>455000</v>
      </c>
      <c r="G70" s="78">
        <f t="shared" si="7"/>
        <v>5000</v>
      </c>
      <c r="H70" s="39">
        <f t="shared" si="4"/>
        <v>460000</v>
      </c>
      <c r="I70" s="100">
        <f>440000+40000</f>
        <v>480000</v>
      </c>
      <c r="J70" s="89">
        <f t="shared" si="0"/>
        <v>25000</v>
      </c>
      <c r="K70" s="89">
        <f t="shared" si="9"/>
        <v>20000</v>
      </c>
      <c r="L70" s="89">
        <f t="shared" si="10"/>
        <v>5000</v>
      </c>
      <c r="M70" s="23">
        <v>460000</v>
      </c>
      <c r="N70" s="89">
        <f t="shared" si="8"/>
        <v>0</v>
      </c>
      <c r="O70" s="111">
        <v>490000</v>
      </c>
      <c r="P70" s="203">
        <v>460000</v>
      </c>
      <c r="Q70" s="203"/>
    </row>
    <row r="71" spans="1:17" x14ac:dyDescent="0.25">
      <c r="A71" s="109"/>
      <c r="B71" s="32"/>
      <c r="C71" s="33" t="s">
        <v>512</v>
      </c>
      <c r="D71" s="36" t="s">
        <v>513</v>
      </c>
      <c r="E71" s="39">
        <v>28800</v>
      </c>
      <c r="F71" s="39">
        <v>121200</v>
      </c>
      <c r="G71" s="78">
        <f t="shared" si="7"/>
        <v>123600</v>
      </c>
      <c r="H71" s="39">
        <f t="shared" si="4"/>
        <v>244800</v>
      </c>
      <c r="I71" s="100">
        <f>244800+28800</f>
        <v>273600</v>
      </c>
      <c r="J71" s="89">
        <f t="shared" si="0"/>
        <v>152400</v>
      </c>
      <c r="K71" s="89">
        <f t="shared" si="9"/>
        <v>28800</v>
      </c>
      <c r="L71" s="89">
        <f t="shared" si="10"/>
        <v>152400</v>
      </c>
      <c r="M71" s="23">
        <f>244800+28800</f>
        <v>273600</v>
      </c>
      <c r="N71" s="89">
        <f t="shared" si="8"/>
        <v>-28800</v>
      </c>
      <c r="O71" s="111">
        <v>259200</v>
      </c>
      <c r="P71" s="203">
        <v>244800</v>
      </c>
      <c r="Q71" s="203"/>
    </row>
    <row r="72" spans="1:17" x14ac:dyDescent="0.25">
      <c r="A72" s="109"/>
      <c r="B72" s="32"/>
      <c r="C72" s="33" t="s">
        <v>567</v>
      </c>
      <c r="D72" s="36" t="s">
        <v>566</v>
      </c>
      <c r="E72" s="39">
        <v>238640</v>
      </c>
      <c r="F72" s="39">
        <v>14400</v>
      </c>
      <c r="G72" s="78">
        <f t="shared" si="7"/>
        <v>14400</v>
      </c>
      <c r="H72" s="39">
        <f t="shared" si="4"/>
        <v>28800</v>
      </c>
      <c r="I72" s="100"/>
      <c r="J72" s="89"/>
      <c r="K72" s="89"/>
      <c r="L72" s="89"/>
      <c r="M72" s="23"/>
      <c r="N72" s="89"/>
      <c r="O72" s="111">
        <v>30600</v>
      </c>
      <c r="P72" s="203">
        <v>28800</v>
      </c>
      <c r="Q72" s="203"/>
    </row>
    <row r="73" spans="1:17" x14ac:dyDescent="0.25">
      <c r="A73" s="109"/>
      <c r="B73" s="32"/>
      <c r="C73" s="33" t="s">
        <v>143</v>
      </c>
      <c r="D73" s="145" t="s">
        <v>514</v>
      </c>
      <c r="E73" s="39">
        <v>1709321</v>
      </c>
      <c r="F73" s="146">
        <v>160000</v>
      </c>
      <c r="G73" s="78">
        <f t="shared" si="7"/>
        <v>460000</v>
      </c>
      <c r="H73" s="101">
        <f t="shared" si="4"/>
        <v>620000</v>
      </c>
      <c r="I73" s="99">
        <v>152000</v>
      </c>
      <c r="J73" s="89">
        <f t="shared" si="0"/>
        <v>-8000</v>
      </c>
      <c r="K73" s="89">
        <f t="shared" si="9"/>
        <v>-468000</v>
      </c>
      <c r="L73" s="89">
        <f t="shared" si="10"/>
        <v>240000</v>
      </c>
      <c r="M73" s="23">
        <v>400000</v>
      </c>
      <c r="N73" s="89">
        <f t="shared" si="8"/>
        <v>220000</v>
      </c>
      <c r="O73" s="111">
        <v>490000</v>
      </c>
      <c r="P73" s="203">
        <f>400000-400000+1791999+160000-1331999</f>
        <v>620000</v>
      </c>
      <c r="Q73" s="203"/>
    </row>
    <row r="74" spans="1:17" ht="15" hidden="1" customHeight="1" x14ac:dyDescent="0.25">
      <c r="A74" s="109"/>
      <c r="B74" s="32"/>
      <c r="C74" s="33" t="s">
        <v>251</v>
      </c>
      <c r="D74" s="145" t="s">
        <v>515</v>
      </c>
      <c r="E74" s="39"/>
      <c r="F74" s="146"/>
      <c r="G74" s="78">
        <f t="shared" si="7"/>
        <v>0</v>
      </c>
      <c r="H74" s="101">
        <f t="shared" si="4"/>
        <v>0</v>
      </c>
      <c r="I74" s="23"/>
      <c r="J74" s="89">
        <f t="shared" si="0"/>
        <v>0</v>
      </c>
      <c r="K74" s="89">
        <f t="shared" si="9"/>
        <v>0</v>
      </c>
      <c r="L74" s="89">
        <f t="shared" si="10"/>
        <v>0</v>
      </c>
      <c r="M74" s="23"/>
      <c r="N74" s="89">
        <f t="shared" si="8"/>
        <v>0</v>
      </c>
      <c r="O74" s="111"/>
      <c r="P74" s="203"/>
      <c r="Q74" s="203"/>
    </row>
    <row r="75" spans="1:17" x14ac:dyDescent="0.25">
      <c r="A75" s="109"/>
      <c r="B75" s="32"/>
      <c r="C75" s="33" t="s">
        <v>144</v>
      </c>
      <c r="D75" s="36" t="s">
        <v>516</v>
      </c>
      <c r="E75" s="39">
        <v>496326</v>
      </c>
      <c r="F75" s="39">
        <v>248163</v>
      </c>
      <c r="G75" s="78">
        <f t="shared" si="7"/>
        <v>248163</v>
      </c>
      <c r="H75" s="39">
        <f t="shared" si="4"/>
        <v>496326</v>
      </c>
      <c r="I75" s="100">
        <v>496326</v>
      </c>
      <c r="J75" s="89">
        <f t="shared" si="0"/>
        <v>248163</v>
      </c>
      <c r="K75" s="89">
        <f t="shared" si="9"/>
        <v>0</v>
      </c>
      <c r="L75" s="89">
        <f t="shared" si="10"/>
        <v>248163</v>
      </c>
      <c r="M75" s="23">
        <v>496326</v>
      </c>
      <c r="N75" s="89">
        <f t="shared" si="8"/>
        <v>0</v>
      </c>
      <c r="O75" s="111">
        <v>533964</v>
      </c>
      <c r="P75" s="203">
        <v>496326</v>
      </c>
      <c r="Q75" s="203"/>
    </row>
    <row r="76" spans="1:17" x14ac:dyDescent="0.25">
      <c r="A76" s="109"/>
      <c r="B76" s="32"/>
      <c r="C76" s="33" t="s">
        <v>145</v>
      </c>
      <c r="D76" s="36" t="s">
        <v>517</v>
      </c>
      <c r="E76" s="39">
        <v>45000</v>
      </c>
      <c r="F76" s="39">
        <v>25000</v>
      </c>
      <c r="G76" s="78">
        <f t="shared" si="7"/>
        <v>35000</v>
      </c>
      <c r="H76" s="39">
        <f t="shared" si="4"/>
        <v>60000</v>
      </c>
      <c r="I76" s="99">
        <v>40000</v>
      </c>
      <c r="J76" s="89">
        <f t="shared" si="0"/>
        <v>15000</v>
      </c>
      <c r="K76" s="89">
        <f t="shared" si="9"/>
        <v>-20000</v>
      </c>
      <c r="L76" s="89">
        <f t="shared" si="10"/>
        <v>25000</v>
      </c>
      <c r="M76" s="23">
        <v>50000</v>
      </c>
      <c r="N76" s="89">
        <f t="shared" si="8"/>
        <v>10000</v>
      </c>
      <c r="O76" s="111">
        <v>95000</v>
      </c>
      <c r="P76" s="203">
        <v>60000</v>
      </c>
      <c r="Q76" s="203"/>
    </row>
    <row r="77" spans="1:17" x14ac:dyDescent="0.25">
      <c r="A77" s="109"/>
      <c r="B77" s="32"/>
      <c r="C77" s="33" t="s">
        <v>147</v>
      </c>
      <c r="D77" s="36" t="s">
        <v>519</v>
      </c>
      <c r="E77" s="39">
        <v>1743345</v>
      </c>
      <c r="F77" s="39">
        <v>2084721.7</v>
      </c>
      <c r="G77" s="78">
        <f t="shared" si="7"/>
        <v>2131428</v>
      </c>
      <c r="H77" s="39">
        <f t="shared" si="4"/>
        <v>4216149.7</v>
      </c>
      <c r="I77" s="99"/>
      <c r="J77" s="89"/>
      <c r="K77" s="89"/>
      <c r="L77" s="89"/>
      <c r="M77" s="23"/>
      <c r="N77" s="89"/>
      <c r="O77" s="111">
        <v>2263836</v>
      </c>
      <c r="P77" s="203">
        <f>1791999+292722.7+4230+166739+1960459</f>
        <v>4216149.7</v>
      </c>
      <c r="Q77" s="203"/>
    </row>
    <row r="78" spans="1:17" x14ac:dyDescent="0.25">
      <c r="A78" s="109"/>
      <c r="B78" s="32"/>
      <c r="C78" s="33" t="s">
        <v>146</v>
      </c>
      <c r="D78" s="36" t="s">
        <v>518</v>
      </c>
      <c r="E78" s="39">
        <v>450500</v>
      </c>
      <c r="F78" s="39">
        <v>233500</v>
      </c>
      <c r="G78" s="78">
        <f t="shared" si="7"/>
        <v>226500</v>
      </c>
      <c r="H78" s="39">
        <f t="shared" si="4"/>
        <v>460000</v>
      </c>
      <c r="I78" s="99">
        <v>440000</v>
      </c>
      <c r="J78" s="89">
        <f t="shared" si="0"/>
        <v>206500</v>
      </c>
      <c r="K78" s="89">
        <f t="shared" si="9"/>
        <v>-20000</v>
      </c>
      <c r="L78" s="89">
        <f t="shared" si="10"/>
        <v>226500</v>
      </c>
      <c r="M78" s="23">
        <v>460000</v>
      </c>
      <c r="N78" s="89">
        <f t="shared" si="8"/>
        <v>0</v>
      </c>
      <c r="O78" s="111">
        <v>490000</v>
      </c>
      <c r="P78" s="203">
        <v>460000</v>
      </c>
      <c r="Q78" s="203"/>
    </row>
    <row r="79" spans="1:17" ht="19.5" customHeight="1" thickBot="1" x14ac:dyDescent="0.3">
      <c r="A79" s="114"/>
      <c r="B79" s="166"/>
      <c r="C79" s="61" t="s">
        <v>520</v>
      </c>
      <c r="D79" s="176" t="s">
        <v>521</v>
      </c>
      <c r="E79" s="177">
        <v>2488084.38</v>
      </c>
      <c r="F79" s="177">
        <v>1380971.52</v>
      </c>
      <c r="G79" s="170">
        <f t="shared" si="7"/>
        <v>1443846.96</v>
      </c>
      <c r="H79" s="177">
        <f t="shared" si="4"/>
        <v>2824818.48</v>
      </c>
      <c r="I79" s="178">
        <v>2536700.65</v>
      </c>
      <c r="J79" s="173">
        <f t="shared" si="0"/>
        <v>1155729.1299999999</v>
      </c>
      <c r="K79" s="173">
        <f t="shared" si="9"/>
        <v>-288117.83000000007</v>
      </c>
      <c r="L79" s="173">
        <f t="shared" si="10"/>
        <v>1196853.1200000001</v>
      </c>
      <c r="M79" s="172">
        <v>2577824.64</v>
      </c>
      <c r="N79" s="173">
        <f t="shared" si="8"/>
        <v>246993.83999999985</v>
      </c>
      <c r="O79" s="171">
        <v>3259923.84</v>
      </c>
      <c r="P79" s="203">
        <f>2580478.56+4235.76+240104.16</f>
        <v>2824818.48</v>
      </c>
      <c r="Q79" s="203"/>
    </row>
    <row r="80" spans="1:17" ht="6.75" customHeight="1" thickBot="1" x14ac:dyDescent="0.3">
      <c r="A80" s="22"/>
      <c r="B80" s="22"/>
      <c r="C80" s="22"/>
      <c r="D80" s="145"/>
      <c r="E80" s="146"/>
      <c r="F80" s="146"/>
      <c r="G80" s="163"/>
      <c r="H80" s="146"/>
      <c r="I80" s="100"/>
      <c r="J80" s="89"/>
      <c r="K80" s="89"/>
      <c r="L80" s="89"/>
      <c r="M80" s="23"/>
      <c r="N80" s="89"/>
      <c r="O80" s="22"/>
      <c r="P80" s="203"/>
      <c r="Q80" s="203"/>
    </row>
    <row r="81" spans="1:29" ht="15" customHeight="1" x14ac:dyDescent="0.25">
      <c r="A81" s="104"/>
      <c r="B81" s="125"/>
      <c r="C81" s="105" t="s">
        <v>149</v>
      </c>
      <c r="D81" s="179" t="s">
        <v>522</v>
      </c>
      <c r="E81" s="129">
        <v>414680.73</v>
      </c>
      <c r="F81" s="129">
        <v>230161.92000000001</v>
      </c>
      <c r="G81" s="174">
        <f t="shared" si="7"/>
        <v>240641.16</v>
      </c>
      <c r="H81" s="129">
        <f t="shared" si="4"/>
        <v>470803.08</v>
      </c>
      <c r="I81" s="185">
        <v>420283.44</v>
      </c>
      <c r="J81" s="175">
        <f t="shared" si="0"/>
        <v>190121.52</v>
      </c>
      <c r="K81" s="175">
        <f t="shared" si="9"/>
        <v>-50519.640000000014</v>
      </c>
      <c r="L81" s="175">
        <f t="shared" si="10"/>
        <v>199475.52</v>
      </c>
      <c r="M81" s="165">
        <v>429637.44</v>
      </c>
      <c r="N81" s="175">
        <f t="shared" si="8"/>
        <v>41165.640000000014</v>
      </c>
      <c r="O81" s="130">
        <v>543320.64</v>
      </c>
      <c r="P81" s="203">
        <f>430079.76+40017.36+705.96</f>
        <v>470803.08</v>
      </c>
      <c r="Q81" s="203"/>
    </row>
    <row r="82" spans="1:29" x14ac:dyDescent="0.25">
      <c r="A82" s="109"/>
      <c r="B82" s="32"/>
      <c r="C82" s="33" t="s">
        <v>150</v>
      </c>
      <c r="D82" s="36" t="s">
        <v>523</v>
      </c>
      <c r="E82" s="39">
        <v>240775</v>
      </c>
      <c r="F82" s="39">
        <v>124725</v>
      </c>
      <c r="G82" s="78">
        <f t="shared" si="7"/>
        <v>136575</v>
      </c>
      <c r="H82" s="39">
        <f t="shared" si="4"/>
        <v>261300</v>
      </c>
      <c r="I82" s="99">
        <v>315112.08</v>
      </c>
      <c r="J82" s="89">
        <f t="shared" si="0"/>
        <v>190387.08000000002</v>
      </c>
      <c r="K82" s="89">
        <f t="shared" si="9"/>
        <v>53812.080000000016</v>
      </c>
      <c r="L82" s="89">
        <f t="shared" si="10"/>
        <v>197403.18</v>
      </c>
      <c r="M82" s="23">
        <v>322128.18</v>
      </c>
      <c r="N82" s="89">
        <f t="shared" si="8"/>
        <v>-60828.179999999993</v>
      </c>
      <c r="O82" s="111">
        <v>275400</v>
      </c>
      <c r="P82" s="203">
        <f>249900+11400</f>
        <v>261300</v>
      </c>
      <c r="Q82" s="203"/>
    </row>
    <row r="83" spans="1:29" x14ac:dyDescent="0.25">
      <c r="A83" s="109"/>
      <c r="B83" s="32"/>
      <c r="C83" s="33" t="s">
        <v>525</v>
      </c>
      <c r="D83" s="36" t="s">
        <v>524</v>
      </c>
      <c r="E83" s="39">
        <v>100360.06</v>
      </c>
      <c r="F83" s="39">
        <v>52155.89</v>
      </c>
      <c r="G83" s="78">
        <f t="shared" si="7"/>
        <v>183245.65000000002</v>
      </c>
      <c r="H83" s="39">
        <f t="shared" si="4"/>
        <v>235401.54000000004</v>
      </c>
      <c r="I83" s="100">
        <v>210141.72</v>
      </c>
      <c r="J83" s="89">
        <f t="shared" si="0"/>
        <v>157985.83000000002</v>
      </c>
      <c r="K83" s="89">
        <f t="shared" si="9"/>
        <v>-25259.820000000036</v>
      </c>
      <c r="L83" s="89">
        <f t="shared" si="10"/>
        <v>162662.83000000002</v>
      </c>
      <c r="M83" s="23">
        <v>214818.72</v>
      </c>
      <c r="N83" s="89">
        <f t="shared" si="8"/>
        <v>20582.820000000036</v>
      </c>
      <c r="O83" s="111">
        <v>271660.32</v>
      </c>
      <c r="P83" s="203">
        <f>215039.88+352.98+20008.68</f>
        <v>235401.54</v>
      </c>
      <c r="Q83" s="203"/>
    </row>
    <row r="84" spans="1:29" x14ac:dyDescent="0.25">
      <c r="A84" s="109"/>
      <c r="B84" s="32"/>
      <c r="C84" s="33" t="s">
        <v>152</v>
      </c>
      <c r="D84" s="36" t="s">
        <v>526</v>
      </c>
      <c r="E84" s="39"/>
      <c r="F84" s="39"/>
      <c r="G84" s="78">
        <f t="shared" si="7"/>
        <v>1472585.85</v>
      </c>
      <c r="H84" s="39">
        <f t="shared" si="4"/>
        <v>1472585.85</v>
      </c>
      <c r="I84" s="100">
        <v>429024.59</v>
      </c>
      <c r="J84" s="89">
        <f t="shared" si="0"/>
        <v>429024.59</v>
      </c>
      <c r="K84" s="89">
        <f t="shared" si="9"/>
        <v>-1043561.26</v>
      </c>
      <c r="L84" s="89">
        <f t="shared" si="10"/>
        <v>0</v>
      </c>
      <c r="M84" s="23"/>
      <c r="N84" s="89">
        <f t="shared" si="8"/>
        <v>1472585.85</v>
      </c>
      <c r="O84" s="111">
        <v>271000</v>
      </c>
      <c r="P84" s="203">
        <f>1460133.49+29106.88+175078.35-191732.87</f>
        <v>1472585.85</v>
      </c>
      <c r="Q84" s="203"/>
    </row>
    <row r="85" spans="1:29" x14ac:dyDescent="0.25">
      <c r="A85" s="109"/>
      <c r="B85" s="32"/>
      <c r="C85" s="33" t="s">
        <v>663</v>
      </c>
      <c r="D85" s="36" t="s">
        <v>664</v>
      </c>
      <c r="E85" s="39"/>
      <c r="F85" s="39"/>
      <c r="G85" s="78"/>
      <c r="H85" s="39"/>
      <c r="I85" s="100"/>
      <c r="J85" s="89"/>
      <c r="K85" s="89"/>
      <c r="L85" s="89"/>
      <c r="M85" s="23"/>
      <c r="N85" s="89"/>
      <c r="O85" s="111">
        <v>2263836</v>
      </c>
      <c r="P85" s="203"/>
      <c r="Q85" s="203"/>
    </row>
    <row r="86" spans="1:29" x14ac:dyDescent="0.25">
      <c r="A86" s="115"/>
      <c r="B86" s="34"/>
      <c r="C86" s="35" t="s">
        <v>153</v>
      </c>
      <c r="D86" s="37" t="s">
        <v>527</v>
      </c>
      <c r="E86" s="40">
        <v>1210278.7</v>
      </c>
      <c r="F86" s="40">
        <v>1012162.91</v>
      </c>
      <c r="G86" s="78">
        <f t="shared" si="7"/>
        <v>792240.53999999969</v>
      </c>
      <c r="H86" s="39">
        <f>SUM(F86:G86)</f>
        <v>1804403.4499999997</v>
      </c>
      <c r="I86" s="99">
        <f>2466650.61+440000</f>
        <v>2906650.61</v>
      </c>
      <c r="J86" s="89">
        <f t="shared" ref="J86:J147" si="11">I86-F86</f>
        <v>1894487.6999999997</v>
      </c>
      <c r="K86" s="89">
        <f t="shared" si="9"/>
        <v>1102247.1600000001</v>
      </c>
      <c r="L86" s="89">
        <f t="shared" si="10"/>
        <v>2015388.04</v>
      </c>
      <c r="M86" s="23">
        <f>2567550.95+460000</f>
        <v>3027550.95</v>
      </c>
      <c r="N86" s="89">
        <f t="shared" si="8"/>
        <v>-1223147.5000000005</v>
      </c>
      <c r="O86" s="111">
        <v>3273011.08</v>
      </c>
      <c r="P86" s="203">
        <f>4283657.13+460000-2939253.68</f>
        <v>1804403.4499999997</v>
      </c>
      <c r="Q86" s="203"/>
    </row>
    <row r="87" spans="1:29" ht="16.5" customHeight="1" x14ac:dyDescent="0.25">
      <c r="A87" s="112"/>
      <c r="B87" s="57"/>
      <c r="C87" s="29" t="s">
        <v>154</v>
      </c>
      <c r="D87" s="30"/>
      <c r="E87" s="31">
        <f>SUM(E65:E86)</f>
        <v>35630775.57</v>
      </c>
      <c r="F87" s="31">
        <f>SUM(F65:F86)</f>
        <v>20294757.940000001</v>
      </c>
      <c r="G87" s="31">
        <f>SUM(G65:G86)</f>
        <v>22197095.16</v>
      </c>
      <c r="H87" s="241">
        <f>SUM(H65:H86)</f>
        <v>42491853.100000001</v>
      </c>
      <c r="I87" s="89">
        <f>SUM(I65:I86)</f>
        <v>35146011.089999996</v>
      </c>
      <c r="J87" s="89">
        <f t="shared" si="11"/>
        <v>14851253.149999995</v>
      </c>
      <c r="K87" s="89">
        <f t="shared" si="9"/>
        <v>-7345842.0100000054</v>
      </c>
      <c r="L87" s="89">
        <f t="shared" si="10"/>
        <v>-20294757.940000001</v>
      </c>
      <c r="M87" s="23"/>
      <c r="N87" s="89">
        <f t="shared" si="8"/>
        <v>42491853.100000001</v>
      </c>
      <c r="O87" s="113">
        <f>SUM(O65:O86)</f>
        <v>47568783.880000003</v>
      </c>
      <c r="P87" s="206">
        <f>SUM(P65:P86)</f>
        <v>42491853.100000001</v>
      </c>
      <c r="Q87" s="207">
        <f>42320200.82-P87</f>
        <v>-171652.28000000119</v>
      </c>
    </row>
    <row r="88" spans="1:29" ht="20.25" customHeight="1" x14ac:dyDescent="0.25">
      <c r="A88" s="116"/>
      <c r="B88" s="42" t="s">
        <v>105</v>
      </c>
      <c r="C88" s="124" t="s">
        <v>155</v>
      </c>
      <c r="D88" s="45"/>
      <c r="E88" s="47"/>
      <c r="F88" s="47"/>
      <c r="G88" s="47"/>
      <c r="H88" s="47"/>
      <c r="I88" s="23"/>
      <c r="J88" s="89">
        <f t="shared" si="11"/>
        <v>0</v>
      </c>
      <c r="K88" s="89">
        <f t="shared" si="9"/>
        <v>0</v>
      </c>
      <c r="L88" s="89">
        <f t="shared" si="10"/>
        <v>0</v>
      </c>
      <c r="M88" s="23"/>
      <c r="N88" s="89">
        <f t="shared" si="8"/>
        <v>0</v>
      </c>
      <c r="O88" s="110"/>
      <c r="P88" s="203"/>
      <c r="Q88" s="203"/>
      <c r="S88" t="s">
        <v>665</v>
      </c>
      <c r="T88" t="s">
        <v>666</v>
      </c>
    </row>
    <row r="89" spans="1:29" ht="15" customHeight="1" x14ac:dyDescent="0.25">
      <c r="A89" s="117"/>
      <c r="B89" s="43"/>
      <c r="C89" s="44" t="s">
        <v>156</v>
      </c>
      <c r="D89" s="46" t="s">
        <v>528</v>
      </c>
      <c r="E89" s="48">
        <v>2309995.27</v>
      </c>
      <c r="F89" s="48">
        <v>1343933.65</v>
      </c>
      <c r="G89" s="78">
        <f t="shared" ref="G89:G147" si="12">P89-F89</f>
        <v>549949.35000000009</v>
      </c>
      <c r="H89" s="39">
        <f>SUM(F89:G89)</f>
        <v>1893883</v>
      </c>
      <c r="I89" s="102">
        <f>1425400+15000+15000+30000+20000+2.04</f>
        <v>1505402.04</v>
      </c>
      <c r="J89" s="89">
        <f t="shared" si="11"/>
        <v>161468.39000000013</v>
      </c>
      <c r="K89" s="89">
        <f t="shared" si="9"/>
        <v>-388480.95999999996</v>
      </c>
      <c r="L89" s="89">
        <f t="shared" si="10"/>
        <v>355808.41000000015</v>
      </c>
      <c r="M89" s="148">
        <f>1593783+50000+55959.06</f>
        <v>1699742.06</v>
      </c>
      <c r="N89" s="89">
        <f t="shared" si="8"/>
        <v>194140.93999999994</v>
      </c>
      <c r="O89" s="227">
        <f>SUM(R89:AC89)</f>
        <v>1955993</v>
      </c>
      <c r="P89" s="203">
        <f>1758883+100000+20000+15000</f>
        <v>1893883</v>
      </c>
      <c r="Q89" s="203"/>
      <c r="R89" s="225">
        <v>1785993</v>
      </c>
      <c r="S89" s="224">
        <v>15000</v>
      </c>
      <c r="U89" s="224">
        <v>70000</v>
      </c>
      <c r="V89" s="224">
        <v>15000</v>
      </c>
      <c r="W89" s="224">
        <v>30000</v>
      </c>
      <c r="X89" s="224">
        <v>40000</v>
      </c>
    </row>
    <row r="90" spans="1:29" ht="12" hidden="1" customHeight="1" x14ac:dyDescent="0.25">
      <c r="A90" s="117"/>
      <c r="B90" s="43"/>
      <c r="C90" s="44" t="s">
        <v>368</v>
      </c>
      <c r="D90" s="46"/>
      <c r="E90" s="48"/>
      <c r="F90" s="48"/>
      <c r="G90" s="78">
        <f t="shared" si="12"/>
        <v>0</v>
      </c>
      <c r="H90" s="39">
        <f>SUM(F90:G90)</f>
        <v>0</v>
      </c>
      <c r="I90" s="102"/>
      <c r="J90" s="89"/>
      <c r="K90" s="89"/>
      <c r="L90" s="89">
        <f t="shared" si="10"/>
        <v>0</v>
      </c>
      <c r="M90" s="148"/>
      <c r="N90" s="89">
        <f t="shared" si="8"/>
        <v>0</v>
      </c>
      <c r="O90" s="227">
        <f t="shared" ref="O90:O110" si="13">SUM(R90:AC90)</f>
        <v>0</v>
      </c>
      <c r="P90" s="203"/>
      <c r="Q90" s="203"/>
      <c r="R90" s="225"/>
      <c r="S90" s="224"/>
    </row>
    <row r="91" spans="1:29" ht="14.25" customHeight="1" x14ac:dyDescent="0.25">
      <c r="A91" s="117"/>
      <c r="B91" s="43"/>
      <c r="C91" s="44" t="s">
        <v>157</v>
      </c>
      <c r="D91" s="46" t="s">
        <v>529</v>
      </c>
      <c r="E91" s="48">
        <v>351350</v>
      </c>
      <c r="F91" s="48">
        <v>149300</v>
      </c>
      <c r="G91" s="78">
        <f t="shared" si="12"/>
        <v>1288366</v>
      </c>
      <c r="H91" s="39">
        <f t="shared" ref="H91:H147" si="14">SUM(F91:G91)</f>
        <v>1437666</v>
      </c>
      <c r="I91" s="102">
        <f>435266+100000+20000+60000+250000</f>
        <v>865266</v>
      </c>
      <c r="J91" s="89">
        <f t="shared" si="11"/>
        <v>715966</v>
      </c>
      <c r="K91" s="89">
        <f t="shared" si="9"/>
        <v>-572400</v>
      </c>
      <c r="L91" s="89">
        <f t="shared" si="10"/>
        <v>1191766</v>
      </c>
      <c r="M91" s="148">
        <f>681066+200000+100000+150000+125000+25000+60000</f>
        <v>1341066</v>
      </c>
      <c r="N91" s="89">
        <f t="shared" si="8"/>
        <v>96600</v>
      </c>
      <c r="O91" s="227">
        <f t="shared" si="13"/>
        <v>1380266</v>
      </c>
      <c r="P91" s="203">
        <f>787666+200000+200000+150000+100000</f>
        <v>1437666</v>
      </c>
      <c r="Q91" s="203"/>
      <c r="R91" s="225">
        <v>730266</v>
      </c>
      <c r="S91" s="224">
        <v>20000</v>
      </c>
      <c r="T91" s="224">
        <v>70000</v>
      </c>
      <c r="U91" s="234">
        <v>40000</v>
      </c>
      <c r="V91" s="234">
        <v>20000</v>
      </c>
      <c r="W91" s="230">
        <v>200000</v>
      </c>
      <c r="X91" s="230">
        <v>250000</v>
      </c>
      <c r="Y91" s="230">
        <v>50000</v>
      </c>
    </row>
    <row r="92" spans="1:29" ht="15.75" x14ac:dyDescent="0.25">
      <c r="A92" s="117"/>
      <c r="B92" s="43"/>
      <c r="C92" s="44" t="s">
        <v>530</v>
      </c>
      <c r="D92" s="46" t="s">
        <v>531</v>
      </c>
      <c r="E92" s="48">
        <v>996000</v>
      </c>
      <c r="F92" s="48"/>
      <c r="G92" s="78">
        <f t="shared" si="12"/>
        <v>1100000</v>
      </c>
      <c r="H92" s="39">
        <f t="shared" si="14"/>
        <v>1100000</v>
      </c>
      <c r="I92" s="23"/>
      <c r="J92" s="89">
        <f t="shared" si="11"/>
        <v>0</v>
      </c>
      <c r="K92" s="89">
        <f t="shared" si="9"/>
        <v>-1100000</v>
      </c>
      <c r="L92" s="89">
        <f t="shared" si="10"/>
        <v>1000000</v>
      </c>
      <c r="M92" s="148">
        <v>1000000</v>
      </c>
      <c r="N92" s="89">
        <f t="shared" si="8"/>
        <v>100000</v>
      </c>
      <c r="O92" s="227">
        <f t="shared" si="13"/>
        <v>1000000</v>
      </c>
      <c r="P92" s="203">
        <f>1000000+100000</f>
        <v>1100000</v>
      </c>
      <c r="Q92" s="203"/>
      <c r="R92" s="225">
        <v>1000000</v>
      </c>
      <c r="S92" s="224"/>
    </row>
    <row r="93" spans="1:29" ht="15.75" x14ac:dyDescent="0.25">
      <c r="A93" s="117"/>
      <c r="B93" s="43"/>
      <c r="C93" s="44" t="s">
        <v>558</v>
      </c>
      <c r="D93" s="46" t="s">
        <v>532</v>
      </c>
      <c r="E93" s="48">
        <v>2066418.24</v>
      </c>
      <c r="F93" s="48">
        <v>715518.83</v>
      </c>
      <c r="G93" s="78">
        <f t="shared" si="12"/>
        <v>445541.68500000017</v>
      </c>
      <c r="H93" s="39">
        <f t="shared" si="14"/>
        <v>1161060.5150000001</v>
      </c>
      <c r="I93" s="23">
        <f>904709+40000+15000+15000+100000+20000</f>
        <v>1094709</v>
      </c>
      <c r="J93" s="89">
        <f>I93-F93-295713.1</f>
        <v>83477.070000000065</v>
      </c>
      <c r="K93" s="89">
        <f t="shared" si="9"/>
        <v>-66351.51500000013</v>
      </c>
      <c r="L93" s="89">
        <f t="shared" si="10"/>
        <v>327030.17000000004</v>
      </c>
      <c r="M93" s="148">
        <f>987549+40000+15000</f>
        <v>1042549</v>
      </c>
      <c r="N93" s="89">
        <f t="shared" si="8"/>
        <v>118511.51500000013</v>
      </c>
      <c r="O93" s="227">
        <f t="shared" si="13"/>
        <v>1548705.84</v>
      </c>
      <c r="P93" s="203">
        <f>1122303.115+100000+100000+50000+50000+10000-263732.6-7510</f>
        <v>1161060.5150000001</v>
      </c>
      <c r="Q93" s="203"/>
      <c r="R93" s="225">
        <v>1113203.1000000001</v>
      </c>
      <c r="S93" s="224">
        <v>25000</v>
      </c>
      <c r="T93" s="224">
        <v>15000</v>
      </c>
      <c r="U93" s="224">
        <v>25000</v>
      </c>
      <c r="V93" s="224">
        <v>68500</v>
      </c>
      <c r="W93" s="233">
        <v>103502.74</v>
      </c>
      <c r="X93" s="224">
        <v>25000</v>
      </c>
      <c r="Y93" s="230">
        <v>50000</v>
      </c>
      <c r="Z93" s="230">
        <v>28500</v>
      </c>
      <c r="AA93" s="230">
        <v>50000</v>
      </c>
      <c r="AB93" s="230">
        <v>20000</v>
      </c>
      <c r="AC93" s="230">
        <v>25000</v>
      </c>
    </row>
    <row r="94" spans="1:29" ht="15.75" x14ac:dyDescent="0.25">
      <c r="A94" s="117"/>
      <c r="B94" s="43"/>
      <c r="C94" s="44" t="s">
        <v>160</v>
      </c>
      <c r="D94" s="46" t="s">
        <v>533</v>
      </c>
      <c r="E94" s="48">
        <v>48865</v>
      </c>
      <c r="F94" s="48">
        <v>33174.120000000003</v>
      </c>
      <c r="G94" s="78">
        <f t="shared" si="12"/>
        <v>13825.879999999997</v>
      </c>
      <c r="H94" s="39">
        <f t="shared" si="14"/>
        <v>47000</v>
      </c>
      <c r="I94" s="102">
        <v>34165</v>
      </c>
      <c r="J94" s="89">
        <f t="shared" si="11"/>
        <v>990.87999999999738</v>
      </c>
      <c r="K94" s="89">
        <f t="shared" si="9"/>
        <v>-12835</v>
      </c>
      <c r="L94" s="89">
        <f t="shared" si="10"/>
        <v>1825.8799999999974</v>
      </c>
      <c r="M94" s="148">
        <v>35000</v>
      </c>
      <c r="N94" s="89">
        <f t="shared" si="8"/>
        <v>12000</v>
      </c>
      <c r="O94" s="227">
        <f t="shared" si="13"/>
        <v>34090</v>
      </c>
      <c r="P94" s="203">
        <v>47000</v>
      </c>
      <c r="Q94" s="203"/>
      <c r="R94" s="225">
        <v>34090</v>
      </c>
      <c r="S94" s="224"/>
    </row>
    <row r="95" spans="1:29" ht="15.75" x14ac:dyDescent="0.25">
      <c r="A95" s="117"/>
      <c r="B95" s="43"/>
      <c r="C95" s="44" t="s">
        <v>640</v>
      </c>
      <c r="D95" s="46" t="s">
        <v>641</v>
      </c>
      <c r="E95" s="48"/>
      <c r="F95" s="48"/>
      <c r="G95" s="78">
        <f t="shared" si="12"/>
        <v>120000</v>
      </c>
      <c r="H95" s="39">
        <f t="shared" si="14"/>
        <v>120000</v>
      </c>
      <c r="I95" s="103"/>
      <c r="J95" s="89"/>
      <c r="K95" s="89"/>
      <c r="L95" s="89"/>
      <c r="M95" s="148"/>
      <c r="N95" s="89"/>
      <c r="O95" s="227">
        <f t="shared" si="13"/>
        <v>0</v>
      </c>
      <c r="P95" s="203">
        <f>120000</f>
        <v>120000</v>
      </c>
      <c r="Q95" s="203"/>
      <c r="R95" s="225"/>
      <c r="S95" s="224"/>
    </row>
    <row r="96" spans="1:29" ht="15.75" x14ac:dyDescent="0.25">
      <c r="A96" s="117"/>
      <c r="B96" s="43"/>
      <c r="C96" s="44" t="s">
        <v>557</v>
      </c>
      <c r="D96" s="46" t="s">
        <v>534</v>
      </c>
      <c r="E96" s="48">
        <v>82200</v>
      </c>
      <c r="F96" s="48"/>
      <c r="G96" s="78">
        <f t="shared" si="12"/>
        <v>0</v>
      </c>
      <c r="H96" s="39">
        <f t="shared" si="14"/>
        <v>0</v>
      </c>
      <c r="I96" s="23"/>
      <c r="J96" s="89">
        <f t="shared" si="11"/>
        <v>0</v>
      </c>
      <c r="K96" s="89">
        <f t="shared" si="9"/>
        <v>0</v>
      </c>
      <c r="L96" s="89">
        <f t="shared" si="10"/>
        <v>50000</v>
      </c>
      <c r="M96" s="148">
        <v>50000</v>
      </c>
      <c r="N96" s="89">
        <f t="shared" si="8"/>
        <v>-50000</v>
      </c>
      <c r="O96" s="227">
        <f t="shared" si="13"/>
        <v>0</v>
      </c>
      <c r="P96" s="203"/>
      <c r="Q96" s="203"/>
      <c r="R96" s="225"/>
      <c r="S96" s="224"/>
    </row>
    <row r="97" spans="1:21" ht="15.75" x14ac:dyDescent="0.25">
      <c r="A97" s="117"/>
      <c r="B97" s="43"/>
      <c r="C97" s="44" t="s">
        <v>556</v>
      </c>
      <c r="D97" s="46" t="s">
        <v>535</v>
      </c>
      <c r="E97" s="48">
        <v>1170119.72</v>
      </c>
      <c r="F97" s="48">
        <v>503930.09</v>
      </c>
      <c r="G97" s="78">
        <f t="shared" si="12"/>
        <v>666069.90999999992</v>
      </c>
      <c r="H97" s="39">
        <f t="shared" si="14"/>
        <v>1170000</v>
      </c>
      <c r="I97" s="102">
        <f>1023000+20000+20000+20000+50000+10000</f>
        <v>1143000</v>
      </c>
      <c r="J97" s="89">
        <f t="shared" si="11"/>
        <v>639069.90999999992</v>
      </c>
      <c r="K97" s="89">
        <f t="shared" si="9"/>
        <v>-27000</v>
      </c>
      <c r="L97" s="89">
        <f t="shared" si="10"/>
        <v>756069.90999999992</v>
      </c>
      <c r="M97" s="148">
        <f>1120000+40000+100000</f>
        <v>1260000</v>
      </c>
      <c r="N97" s="89">
        <f t="shared" si="8"/>
        <v>-90000</v>
      </c>
      <c r="O97" s="227">
        <f t="shared" si="13"/>
        <v>1150000</v>
      </c>
      <c r="P97" s="203">
        <f>1120000+50000</f>
        <v>1170000</v>
      </c>
      <c r="Q97" s="203"/>
      <c r="R97" s="225">
        <v>1100000</v>
      </c>
      <c r="S97" s="224">
        <v>20000</v>
      </c>
      <c r="T97" s="234">
        <v>20000</v>
      </c>
      <c r="U97" s="234">
        <v>10000</v>
      </c>
    </row>
    <row r="98" spans="1:21" ht="13.5" customHeight="1" x14ac:dyDescent="0.25">
      <c r="A98" s="117"/>
      <c r="B98" s="43"/>
      <c r="C98" s="44" t="s">
        <v>555</v>
      </c>
      <c r="D98" s="46" t="s">
        <v>536</v>
      </c>
      <c r="E98" s="48">
        <v>49680</v>
      </c>
      <c r="F98" s="48">
        <v>7510</v>
      </c>
      <c r="G98" s="78">
        <f t="shared" si="12"/>
        <v>0</v>
      </c>
      <c r="H98" s="39">
        <f t="shared" si="14"/>
        <v>7510</v>
      </c>
      <c r="I98" s="23"/>
      <c r="J98" s="89">
        <f t="shared" si="11"/>
        <v>-7510</v>
      </c>
      <c r="K98" s="89">
        <f t="shared" si="9"/>
        <v>-7510</v>
      </c>
      <c r="L98" s="89">
        <f t="shared" si="10"/>
        <v>-7510</v>
      </c>
      <c r="M98" s="148"/>
      <c r="N98" s="89">
        <f t="shared" si="8"/>
        <v>7510</v>
      </c>
      <c r="O98" s="227">
        <f t="shared" si="13"/>
        <v>0</v>
      </c>
      <c r="P98" s="203">
        <v>7510</v>
      </c>
      <c r="Q98" s="203"/>
      <c r="R98" s="225"/>
      <c r="S98" s="224"/>
    </row>
    <row r="99" spans="1:21" ht="13.5" customHeight="1" x14ac:dyDescent="0.25">
      <c r="A99" s="117"/>
      <c r="B99" s="43"/>
      <c r="C99" s="44" t="s">
        <v>648</v>
      </c>
      <c r="D99" s="46" t="s">
        <v>647</v>
      </c>
      <c r="E99" s="48"/>
      <c r="F99" s="48"/>
      <c r="G99" s="78">
        <f t="shared" si="12"/>
        <v>150000</v>
      </c>
      <c r="H99" s="39">
        <f t="shared" si="14"/>
        <v>150000</v>
      </c>
      <c r="I99" s="23"/>
      <c r="J99" s="89"/>
      <c r="K99" s="89"/>
      <c r="L99" s="89"/>
      <c r="M99" s="148"/>
      <c r="N99" s="89"/>
      <c r="O99" s="227">
        <f t="shared" si="13"/>
        <v>230000</v>
      </c>
      <c r="P99" s="203">
        <v>150000</v>
      </c>
      <c r="Q99" s="203"/>
      <c r="R99" s="225">
        <v>230000</v>
      </c>
      <c r="S99" s="224"/>
    </row>
    <row r="100" spans="1:21" ht="15" customHeight="1" x14ac:dyDescent="0.25">
      <c r="A100" s="117"/>
      <c r="B100" s="43"/>
      <c r="C100" s="44" t="s">
        <v>554</v>
      </c>
      <c r="D100" s="46" t="s">
        <v>537</v>
      </c>
      <c r="E100" s="48">
        <v>1200</v>
      </c>
      <c r="F100" s="48"/>
      <c r="G100" s="78">
        <f t="shared" si="12"/>
        <v>40000</v>
      </c>
      <c r="H100" s="39">
        <f t="shared" si="14"/>
        <v>40000</v>
      </c>
      <c r="I100" s="23"/>
      <c r="J100" s="89">
        <f t="shared" si="11"/>
        <v>0</v>
      </c>
      <c r="K100" s="89">
        <f t="shared" si="9"/>
        <v>-40000</v>
      </c>
      <c r="L100" s="89">
        <f t="shared" si="10"/>
        <v>0</v>
      </c>
      <c r="M100" s="148"/>
      <c r="N100" s="89">
        <f t="shared" si="8"/>
        <v>40000</v>
      </c>
      <c r="O100" s="227">
        <f t="shared" si="13"/>
        <v>0</v>
      </c>
      <c r="P100" s="203">
        <v>40000</v>
      </c>
      <c r="Q100" s="203"/>
      <c r="R100" s="225"/>
      <c r="S100" s="224"/>
    </row>
    <row r="101" spans="1:21" ht="15" customHeight="1" x14ac:dyDescent="0.25">
      <c r="A101" s="117"/>
      <c r="B101" s="43"/>
      <c r="C101" s="44" t="s">
        <v>635</v>
      </c>
      <c r="D101" s="46" t="s">
        <v>642</v>
      </c>
      <c r="E101" s="48"/>
      <c r="F101" s="48"/>
      <c r="G101" s="78">
        <f t="shared" si="12"/>
        <v>250000</v>
      </c>
      <c r="H101" s="39">
        <f t="shared" si="14"/>
        <v>250000</v>
      </c>
      <c r="I101" s="23"/>
      <c r="J101" s="89"/>
      <c r="K101" s="89"/>
      <c r="L101" s="89"/>
      <c r="M101" s="148"/>
      <c r="N101" s="89"/>
      <c r="O101" s="227">
        <f t="shared" si="13"/>
        <v>250000</v>
      </c>
      <c r="P101" s="203">
        <f>150000+100000</f>
        <v>250000</v>
      </c>
      <c r="Q101" s="203"/>
      <c r="R101" s="225">
        <v>250000</v>
      </c>
      <c r="S101" s="224"/>
    </row>
    <row r="102" spans="1:21" ht="15.75" x14ac:dyDescent="0.25">
      <c r="A102" s="117"/>
      <c r="B102" s="43"/>
      <c r="C102" s="44" t="s">
        <v>553</v>
      </c>
      <c r="D102" s="46" t="s">
        <v>538</v>
      </c>
      <c r="E102" s="48">
        <v>374726.75</v>
      </c>
      <c r="F102" s="48">
        <f>168822+94910.6</f>
        <v>263732.59999999998</v>
      </c>
      <c r="G102" s="78">
        <f t="shared" si="12"/>
        <v>0</v>
      </c>
      <c r="H102" s="39">
        <f t="shared" si="14"/>
        <v>263732.59999999998</v>
      </c>
      <c r="I102" s="23"/>
      <c r="J102" s="89">
        <f>I102-F102+295713.1</f>
        <v>31980.5</v>
      </c>
      <c r="K102" s="89">
        <f t="shared" si="9"/>
        <v>-263732.59999999998</v>
      </c>
      <c r="L102" s="89">
        <f t="shared" si="10"/>
        <v>481267.4</v>
      </c>
      <c r="M102" s="148">
        <f>120000+75000+150000+120000+60000+120000+100000</f>
        <v>745000</v>
      </c>
      <c r="N102" s="89">
        <f t="shared" si="8"/>
        <v>-481267.4</v>
      </c>
      <c r="O102" s="227">
        <f t="shared" si="13"/>
        <v>288000</v>
      </c>
      <c r="P102" s="203">
        <v>263732.59999999998</v>
      </c>
      <c r="Q102" s="203"/>
      <c r="R102" s="225">
        <v>28000</v>
      </c>
      <c r="S102" s="224">
        <v>200000</v>
      </c>
      <c r="T102" s="234">
        <v>60000</v>
      </c>
    </row>
    <row r="103" spans="1:21" ht="15.75" x14ac:dyDescent="0.25">
      <c r="A103" s="117"/>
      <c r="B103" s="43"/>
      <c r="C103" s="44" t="s">
        <v>552</v>
      </c>
      <c r="D103" s="46" t="s">
        <v>539</v>
      </c>
      <c r="E103" s="48">
        <v>977004.76</v>
      </c>
      <c r="F103" s="48">
        <v>417203.91</v>
      </c>
      <c r="G103" s="78">
        <f t="shared" si="12"/>
        <v>482796.09</v>
      </c>
      <c r="H103" s="39">
        <f t="shared" si="14"/>
        <v>900000</v>
      </c>
      <c r="I103" s="102">
        <v>850000</v>
      </c>
      <c r="J103" s="89">
        <f t="shared" si="11"/>
        <v>432796.09</v>
      </c>
      <c r="K103" s="89">
        <f t="shared" si="9"/>
        <v>-50000</v>
      </c>
      <c r="L103" s="89">
        <f t="shared" si="10"/>
        <v>482796.09</v>
      </c>
      <c r="M103" s="148">
        <v>900000</v>
      </c>
      <c r="N103" s="89">
        <f t="shared" si="8"/>
        <v>0</v>
      </c>
      <c r="O103" s="227">
        <f t="shared" si="13"/>
        <v>900000</v>
      </c>
      <c r="P103" s="203">
        <v>900000</v>
      </c>
      <c r="Q103" s="203"/>
      <c r="R103" s="225">
        <v>900000</v>
      </c>
      <c r="S103" s="224"/>
    </row>
    <row r="104" spans="1:21" ht="15.75" x14ac:dyDescent="0.25">
      <c r="A104" s="117"/>
      <c r="B104" s="43"/>
      <c r="C104" s="44" t="s">
        <v>541</v>
      </c>
      <c r="D104" s="46" t="s">
        <v>540</v>
      </c>
      <c r="E104" s="48">
        <v>950</v>
      </c>
      <c r="F104" s="48"/>
      <c r="G104" s="78">
        <f t="shared" si="12"/>
        <v>0</v>
      </c>
      <c r="H104" s="39">
        <f t="shared" si="14"/>
        <v>0</v>
      </c>
      <c r="I104" s="102">
        <v>14500</v>
      </c>
      <c r="J104" s="89">
        <f t="shared" si="11"/>
        <v>14500</v>
      </c>
      <c r="K104" s="89">
        <f t="shared" si="9"/>
        <v>14500</v>
      </c>
      <c r="L104" s="89">
        <f t="shared" si="10"/>
        <v>31000</v>
      </c>
      <c r="M104" s="148">
        <v>31000</v>
      </c>
      <c r="N104" s="89">
        <f t="shared" si="8"/>
        <v>-31000</v>
      </c>
      <c r="O104" s="227">
        <f t="shared" si="13"/>
        <v>0</v>
      </c>
      <c r="P104" s="203"/>
      <c r="Q104" s="203"/>
      <c r="R104" s="225"/>
      <c r="S104" s="224"/>
    </row>
    <row r="105" spans="1:21" ht="15.75" x14ac:dyDescent="0.25">
      <c r="A105" s="117"/>
      <c r="B105" s="43"/>
      <c r="C105" s="44" t="s">
        <v>569</v>
      </c>
      <c r="D105" s="46" t="s">
        <v>568</v>
      </c>
      <c r="E105" s="48">
        <v>641744</v>
      </c>
      <c r="F105" s="48">
        <v>343280</v>
      </c>
      <c r="G105" s="78">
        <f t="shared" si="12"/>
        <v>265564</v>
      </c>
      <c r="H105" s="39">
        <f t="shared" si="14"/>
        <v>608844</v>
      </c>
      <c r="I105" s="103"/>
      <c r="J105" s="89"/>
      <c r="K105" s="89"/>
      <c r="L105" s="89"/>
      <c r="M105" s="148"/>
      <c r="N105" s="89"/>
      <c r="O105" s="227">
        <f t="shared" si="13"/>
        <v>740644</v>
      </c>
      <c r="P105" s="203">
        <f>598844+10000</f>
        <v>608844</v>
      </c>
      <c r="Q105" s="203"/>
      <c r="R105" s="225">
        <v>740644</v>
      </c>
      <c r="S105" s="224"/>
    </row>
    <row r="106" spans="1:21" ht="15.75" x14ac:dyDescent="0.25">
      <c r="A106" s="117"/>
      <c r="B106" s="43"/>
      <c r="C106" s="44" t="s">
        <v>551</v>
      </c>
      <c r="D106" s="46" t="s">
        <v>542</v>
      </c>
      <c r="E106" s="48">
        <v>53007.5</v>
      </c>
      <c r="F106" s="48"/>
      <c r="G106" s="78">
        <f t="shared" si="12"/>
        <v>50000</v>
      </c>
      <c r="H106" s="39">
        <f t="shared" si="14"/>
        <v>50000</v>
      </c>
      <c r="I106" s="103"/>
      <c r="J106" s="89"/>
      <c r="K106" s="89"/>
      <c r="L106" s="89">
        <f t="shared" si="10"/>
        <v>0</v>
      </c>
      <c r="M106" s="148"/>
      <c r="N106" s="89">
        <f t="shared" si="8"/>
        <v>50000</v>
      </c>
      <c r="O106" s="227">
        <f t="shared" si="13"/>
        <v>70000</v>
      </c>
      <c r="P106" s="203">
        <f>50000</f>
        <v>50000</v>
      </c>
      <c r="Q106" s="203"/>
      <c r="R106" s="225">
        <v>50000</v>
      </c>
      <c r="S106" s="224">
        <v>20000</v>
      </c>
    </row>
    <row r="107" spans="1:21" ht="15.75" x14ac:dyDescent="0.25">
      <c r="A107" s="117"/>
      <c r="B107" s="43"/>
      <c r="C107" s="44" t="s">
        <v>550</v>
      </c>
      <c r="D107" s="46" t="s">
        <v>543</v>
      </c>
      <c r="E107" s="48">
        <v>91500</v>
      </c>
      <c r="F107" s="48"/>
      <c r="G107" s="78">
        <f t="shared" si="12"/>
        <v>150000</v>
      </c>
      <c r="H107" s="39">
        <f t="shared" si="14"/>
        <v>150000</v>
      </c>
      <c r="I107" s="23"/>
      <c r="J107" s="89">
        <f t="shared" si="11"/>
        <v>0</v>
      </c>
      <c r="K107" s="89">
        <f t="shared" si="9"/>
        <v>-150000</v>
      </c>
      <c r="L107" s="89">
        <f t="shared" si="10"/>
        <v>0</v>
      </c>
      <c r="M107" s="148"/>
      <c r="N107" s="89">
        <f t="shared" si="8"/>
        <v>150000</v>
      </c>
      <c r="O107" s="227">
        <f t="shared" si="13"/>
        <v>150000</v>
      </c>
      <c r="P107" s="203">
        <f>150000</f>
        <v>150000</v>
      </c>
      <c r="Q107" s="203"/>
      <c r="R107" s="225">
        <v>150000</v>
      </c>
      <c r="S107" s="224"/>
    </row>
    <row r="108" spans="1:21" ht="12.75" customHeight="1" x14ac:dyDescent="0.25">
      <c r="A108" s="117"/>
      <c r="B108" s="43"/>
      <c r="C108" s="44" t="s">
        <v>571</v>
      </c>
      <c r="D108" s="46" t="s">
        <v>570</v>
      </c>
      <c r="E108" s="48"/>
      <c r="F108" s="48">
        <v>297250</v>
      </c>
      <c r="G108" s="78">
        <f t="shared" si="12"/>
        <v>452750</v>
      </c>
      <c r="H108" s="39">
        <f t="shared" si="14"/>
        <v>750000</v>
      </c>
      <c r="I108" s="23"/>
      <c r="J108" s="89"/>
      <c r="K108" s="89"/>
      <c r="L108" s="89"/>
      <c r="M108" s="148"/>
      <c r="N108" s="89"/>
      <c r="O108" s="227">
        <f t="shared" si="13"/>
        <v>0</v>
      </c>
      <c r="P108" s="203">
        <v>750000</v>
      </c>
      <c r="Q108" s="203"/>
      <c r="R108" s="225"/>
      <c r="S108" s="224"/>
    </row>
    <row r="109" spans="1:21" ht="15.75" x14ac:dyDescent="0.25">
      <c r="A109" s="117"/>
      <c r="B109" s="43"/>
      <c r="C109" s="44" t="s">
        <v>546</v>
      </c>
      <c r="D109" s="46" t="s">
        <v>547</v>
      </c>
      <c r="E109" s="48">
        <f>1150+343500</f>
        <v>344650</v>
      </c>
      <c r="F109" s="48">
        <v>2240</v>
      </c>
      <c r="G109" s="78">
        <f t="shared" si="12"/>
        <v>248760</v>
      </c>
      <c r="H109" s="39">
        <f t="shared" si="14"/>
        <v>251000</v>
      </c>
      <c r="I109" s="23">
        <v>50000</v>
      </c>
      <c r="J109" s="89">
        <f t="shared" si="11"/>
        <v>47760</v>
      </c>
      <c r="K109" s="89">
        <f t="shared" si="9"/>
        <v>-201000</v>
      </c>
      <c r="L109" s="89">
        <f t="shared" si="10"/>
        <v>1950814.15</v>
      </c>
      <c r="M109" s="148">
        <f>50000+1903054.15</f>
        <v>1953054.15</v>
      </c>
      <c r="N109" s="89">
        <f t="shared" si="8"/>
        <v>-1702054.15</v>
      </c>
      <c r="O109" s="227">
        <f t="shared" si="13"/>
        <v>230000</v>
      </c>
      <c r="P109" s="203">
        <f>130000+121000</f>
        <v>251000</v>
      </c>
      <c r="Q109" s="203"/>
      <c r="R109" s="225">
        <v>100000</v>
      </c>
      <c r="S109" s="224">
        <v>130000</v>
      </c>
    </row>
    <row r="110" spans="1:21" ht="16.5" thickBot="1" x14ac:dyDescent="0.3">
      <c r="A110" s="132"/>
      <c r="B110" s="188"/>
      <c r="C110" s="180" t="s">
        <v>564</v>
      </c>
      <c r="D110" s="181" t="s">
        <v>565</v>
      </c>
      <c r="E110" s="182">
        <v>22400</v>
      </c>
      <c r="F110" s="183">
        <v>20000</v>
      </c>
      <c r="G110" s="184">
        <v>0</v>
      </c>
      <c r="H110" s="177">
        <f t="shared" si="14"/>
        <v>20000</v>
      </c>
      <c r="I110" s="186">
        <v>150000</v>
      </c>
      <c r="J110" s="173">
        <f t="shared" si="11"/>
        <v>130000</v>
      </c>
      <c r="K110" s="173">
        <f t="shared" si="9"/>
        <v>130000</v>
      </c>
      <c r="L110" s="173">
        <f t="shared" si="10"/>
        <v>-20000</v>
      </c>
      <c r="M110" s="187"/>
      <c r="N110" s="173">
        <f t="shared" si="8"/>
        <v>20000</v>
      </c>
      <c r="O110" s="235">
        <f t="shared" si="13"/>
        <v>0</v>
      </c>
      <c r="P110" s="203"/>
      <c r="Q110" s="203"/>
      <c r="R110" s="225"/>
      <c r="S110" s="224"/>
    </row>
    <row r="111" spans="1:21" ht="15.75" hidden="1" x14ac:dyDescent="0.25">
      <c r="A111" s="117"/>
      <c r="B111" s="155"/>
      <c r="C111" s="155" t="s">
        <v>644</v>
      </c>
      <c r="D111" s="46" t="s">
        <v>643</v>
      </c>
      <c r="E111" s="157"/>
      <c r="F111" s="48"/>
      <c r="G111" s="163"/>
      <c r="H111" s="39"/>
      <c r="I111" s="103"/>
      <c r="J111" s="21"/>
      <c r="K111" s="21"/>
      <c r="L111" s="21"/>
      <c r="M111" s="142"/>
      <c r="N111" s="21"/>
      <c r="O111" s="38"/>
      <c r="P111" s="203"/>
      <c r="Q111" s="203"/>
      <c r="R111" s="225"/>
      <c r="S111" s="224"/>
    </row>
    <row r="112" spans="1:21" ht="11.25" customHeight="1" thickBot="1" x14ac:dyDescent="0.3">
      <c r="A112" s="117"/>
      <c r="B112" s="155"/>
      <c r="C112" s="155"/>
      <c r="D112" s="46"/>
      <c r="E112" s="157"/>
      <c r="F112" s="48"/>
      <c r="G112" s="163"/>
      <c r="H112" s="39"/>
      <c r="I112" s="103"/>
      <c r="J112" s="21"/>
      <c r="K112" s="21"/>
      <c r="L112" s="21"/>
      <c r="M112" s="142"/>
      <c r="N112" s="21"/>
      <c r="O112" s="166"/>
      <c r="P112" s="203"/>
      <c r="Q112" s="203"/>
      <c r="R112" s="225"/>
      <c r="S112" s="224"/>
    </row>
    <row r="113" spans="1:26" ht="15.75" x14ac:dyDescent="0.25">
      <c r="A113" s="189"/>
      <c r="B113" s="202"/>
      <c r="C113" s="190" t="s">
        <v>573</v>
      </c>
      <c r="D113" s="191" t="s">
        <v>572</v>
      </c>
      <c r="E113" s="192">
        <v>37586</v>
      </c>
      <c r="F113" s="193">
        <v>318612.61</v>
      </c>
      <c r="G113" s="194">
        <f t="shared" si="12"/>
        <v>96421.510000000009</v>
      </c>
      <c r="H113" s="129">
        <f t="shared" si="14"/>
        <v>415034.12</v>
      </c>
      <c r="I113" s="165"/>
      <c r="J113" s="175"/>
      <c r="K113" s="175"/>
      <c r="L113" s="175"/>
      <c r="M113" s="195"/>
      <c r="N113" s="175"/>
      <c r="O113" s="227">
        <f t="shared" ref="O113:O144" si="15">SUM(R113:AC113)</f>
        <v>418964.83</v>
      </c>
      <c r="P113" s="203">
        <f>6034.12+26000+108000+50000+50000+100000+75000</f>
        <v>415034.12</v>
      </c>
      <c r="Q113" s="203"/>
      <c r="R113" s="225">
        <v>40000</v>
      </c>
      <c r="S113" s="224">
        <v>25000</v>
      </c>
      <c r="T113">
        <v>7059.83</v>
      </c>
      <c r="U113" s="224">
        <v>81905</v>
      </c>
      <c r="V113">
        <v>75000</v>
      </c>
      <c r="W113">
        <v>75000</v>
      </c>
      <c r="X113">
        <v>60000</v>
      </c>
      <c r="Y113" s="230">
        <v>25000</v>
      </c>
      <c r="Z113">
        <v>30000</v>
      </c>
    </row>
    <row r="114" spans="1:26" ht="15.75" x14ac:dyDescent="0.25">
      <c r="A114" s="117"/>
      <c r="B114" s="43"/>
      <c r="C114" s="155" t="s">
        <v>671</v>
      </c>
      <c r="D114" s="46" t="s">
        <v>670</v>
      </c>
      <c r="E114" s="157"/>
      <c r="F114" s="48"/>
      <c r="G114" s="163"/>
      <c r="H114" s="39"/>
      <c r="I114" s="23"/>
      <c r="J114" s="89"/>
      <c r="K114" s="89"/>
      <c r="L114" s="89"/>
      <c r="M114" s="148"/>
      <c r="N114" s="89"/>
      <c r="O114" s="227">
        <f t="shared" si="15"/>
        <v>150000</v>
      </c>
      <c r="P114" s="203"/>
      <c r="Q114" s="203"/>
      <c r="R114" s="225">
        <v>150000</v>
      </c>
      <c r="S114" s="224"/>
      <c r="U114" s="224"/>
      <c r="Y114" s="230"/>
    </row>
    <row r="115" spans="1:26" ht="12.75" customHeight="1" x14ac:dyDescent="0.25">
      <c r="A115" s="117"/>
      <c r="B115" s="43"/>
      <c r="C115" s="44" t="s">
        <v>255</v>
      </c>
      <c r="D115" s="46" t="s">
        <v>630</v>
      </c>
      <c r="E115" s="48"/>
      <c r="F115" s="48"/>
      <c r="G115" s="78">
        <f t="shared" si="12"/>
        <v>150000</v>
      </c>
      <c r="H115" s="39">
        <f t="shared" si="14"/>
        <v>150000</v>
      </c>
      <c r="I115" s="23"/>
      <c r="J115" s="89"/>
      <c r="K115" s="89"/>
      <c r="L115" s="89"/>
      <c r="M115" s="148"/>
      <c r="N115" s="89"/>
      <c r="O115" s="227">
        <f t="shared" si="15"/>
        <v>0</v>
      </c>
      <c r="P115" s="203">
        <v>150000</v>
      </c>
      <c r="Q115" s="203"/>
      <c r="R115" s="225"/>
      <c r="S115" s="224"/>
    </row>
    <row r="116" spans="1:26" ht="13.5" customHeight="1" x14ac:dyDescent="0.25">
      <c r="A116" s="117"/>
      <c r="B116" s="43"/>
      <c r="C116" s="44" t="s">
        <v>574</v>
      </c>
      <c r="D116" s="46" t="s">
        <v>575</v>
      </c>
      <c r="E116" s="48">
        <v>3029279</v>
      </c>
      <c r="F116" s="48">
        <v>564425</v>
      </c>
      <c r="G116" s="78">
        <f t="shared" si="12"/>
        <v>931449.44</v>
      </c>
      <c r="H116" s="39">
        <f t="shared" si="14"/>
        <v>1495874.44</v>
      </c>
      <c r="I116" s="23">
        <v>146945.65</v>
      </c>
      <c r="J116" s="89">
        <f t="shared" si="11"/>
        <v>-417479.35</v>
      </c>
      <c r="K116" s="89">
        <f t="shared" si="9"/>
        <v>-1348928.79</v>
      </c>
      <c r="L116" s="89">
        <f t="shared" si="10"/>
        <v>-564425</v>
      </c>
      <c r="M116" s="148"/>
      <c r="N116" s="89">
        <f t="shared" si="8"/>
        <v>1495874.44</v>
      </c>
      <c r="O116" s="227">
        <f t="shared" si="15"/>
        <v>1502373.7</v>
      </c>
      <c r="P116" s="203">
        <f>210000+1135874.44+150000</f>
        <v>1495874.44</v>
      </c>
      <c r="Q116" s="203"/>
      <c r="R116" s="225">
        <v>1502373.7</v>
      </c>
      <c r="S116" s="224"/>
    </row>
    <row r="117" spans="1:26" ht="15.75" x14ac:dyDescent="0.25">
      <c r="A117" s="117"/>
      <c r="B117" s="43"/>
      <c r="C117" s="44" t="s">
        <v>597</v>
      </c>
      <c r="D117" s="46" t="s">
        <v>576</v>
      </c>
      <c r="E117" s="48">
        <v>356645.2</v>
      </c>
      <c r="F117" s="48">
        <v>367155</v>
      </c>
      <c r="G117" s="78">
        <f t="shared" si="12"/>
        <v>162845</v>
      </c>
      <c r="H117" s="39">
        <f t="shared" si="14"/>
        <v>530000</v>
      </c>
      <c r="I117" s="102">
        <v>100000</v>
      </c>
      <c r="J117" s="89">
        <f t="shared" si="11"/>
        <v>-267155</v>
      </c>
      <c r="K117" s="89">
        <f t="shared" si="9"/>
        <v>-430000</v>
      </c>
      <c r="L117" s="89">
        <f t="shared" si="10"/>
        <v>-167155</v>
      </c>
      <c r="M117" s="148">
        <v>200000</v>
      </c>
      <c r="N117" s="89">
        <f t="shared" si="8"/>
        <v>330000</v>
      </c>
      <c r="O117" s="227">
        <f t="shared" si="15"/>
        <v>655000</v>
      </c>
      <c r="P117" s="203">
        <f>200000+50000+250000+30000</f>
        <v>530000</v>
      </c>
      <c r="Q117" s="203"/>
      <c r="R117" s="225">
        <v>355000</v>
      </c>
      <c r="S117" s="224">
        <v>50000</v>
      </c>
      <c r="T117">
        <v>250000</v>
      </c>
    </row>
    <row r="118" spans="1:26" ht="15.75" x14ac:dyDescent="0.25">
      <c r="A118" s="117"/>
      <c r="B118" s="43"/>
      <c r="C118" s="44" t="s">
        <v>577</v>
      </c>
      <c r="D118" s="46" t="s">
        <v>578</v>
      </c>
      <c r="E118" s="48">
        <v>147129.70000000001</v>
      </c>
      <c r="F118" s="48">
        <v>65372.7</v>
      </c>
      <c r="G118" s="78">
        <f t="shared" si="12"/>
        <v>64627.3</v>
      </c>
      <c r="H118" s="39">
        <f t="shared" si="14"/>
        <v>130000</v>
      </c>
      <c r="I118" s="23"/>
      <c r="J118" s="89">
        <f t="shared" si="11"/>
        <v>-65372.7</v>
      </c>
      <c r="K118" s="89">
        <f t="shared" si="9"/>
        <v>-130000</v>
      </c>
      <c r="L118" s="89">
        <f t="shared" si="10"/>
        <v>-65372.7</v>
      </c>
      <c r="M118" s="148"/>
      <c r="N118" s="89">
        <f t="shared" si="8"/>
        <v>130000</v>
      </c>
      <c r="O118" s="227">
        <f t="shared" si="15"/>
        <v>30000</v>
      </c>
      <c r="P118" s="203">
        <f>30000+100000</f>
        <v>130000</v>
      </c>
      <c r="Q118" s="203"/>
      <c r="R118" s="225">
        <v>30000</v>
      </c>
      <c r="S118" s="224"/>
    </row>
    <row r="119" spans="1:26" ht="15.75" x14ac:dyDescent="0.25">
      <c r="A119" s="117"/>
      <c r="B119" s="43"/>
      <c r="C119" s="44" t="s">
        <v>594</v>
      </c>
      <c r="D119" s="46" t="s">
        <v>579</v>
      </c>
      <c r="E119" s="48">
        <v>1468305.1</v>
      </c>
      <c r="F119" s="48">
        <v>575687.6</v>
      </c>
      <c r="G119" s="78">
        <f t="shared" si="12"/>
        <v>324312.40000000002</v>
      </c>
      <c r="H119" s="39">
        <f t="shared" si="14"/>
        <v>900000</v>
      </c>
      <c r="I119" s="23"/>
      <c r="J119" s="89">
        <f t="shared" si="11"/>
        <v>-575687.6</v>
      </c>
      <c r="K119" s="89">
        <f t="shared" si="9"/>
        <v>-900000</v>
      </c>
      <c r="L119" s="89">
        <f t="shared" si="10"/>
        <v>-575687.6</v>
      </c>
      <c r="M119" s="148"/>
      <c r="N119" s="89">
        <f t="shared" si="8"/>
        <v>900000</v>
      </c>
      <c r="O119" s="227">
        <f t="shared" si="15"/>
        <v>1130000</v>
      </c>
      <c r="P119" s="203">
        <f>900000</f>
        <v>900000</v>
      </c>
      <c r="Q119" s="203"/>
      <c r="R119" s="225">
        <v>1030000</v>
      </c>
      <c r="S119" s="224">
        <v>100000</v>
      </c>
    </row>
    <row r="120" spans="1:26" ht="15.75" x14ac:dyDescent="0.25">
      <c r="A120" s="117"/>
      <c r="B120" s="43"/>
      <c r="C120" s="44" t="s">
        <v>580</v>
      </c>
      <c r="D120" s="46" t="s">
        <v>581</v>
      </c>
      <c r="E120" s="48"/>
      <c r="F120" s="48">
        <v>1630</v>
      </c>
      <c r="G120" s="78">
        <v>0</v>
      </c>
      <c r="H120" s="39">
        <f t="shared" si="14"/>
        <v>1630</v>
      </c>
      <c r="I120" s="23">
        <f>50000</f>
        <v>50000</v>
      </c>
      <c r="J120" s="89">
        <f t="shared" si="11"/>
        <v>48370</v>
      </c>
      <c r="K120" s="89">
        <f t="shared" si="9"/>
        <v>48370</v>
      </c>
      <c r="L120" s="89">
        <f t="shared" si="10"/>
        <v>48370</v>
      </c>
      <c r="M120" s="148">
        <f>50000</f>
        <v>50000</v>
      </c>
      <c r="N120" s="89">
        <f t="shared" si="8"/>
        <v>-48370</v>
      </c>
      <c r="O120" s="227">
        <f t="shared" si="15"/>
        <v>0</v>
      </c>
      <c r="P120" s="203"/>
      <c r="Q120" s="203"/>
      <c r="R120" s="225"/>
      <c r="S120" s="224"/>
    </row>
    <row r="121" spans="1:26" ht="15" hidden="1" customHeight="1" x14ac:dyDescent="0.25">
      <c r="A121" s="117"/>
      <c r="B121" s="43"/>
      <c r="C121" s="44" t="s">
        <v>596</v>
      </c>
      <c r="D121" s="46" t="s">
        <v>595</v>
      </c>
      <c r="E121" s="48"/>
      <c r="F121" s="48"/>
      <c r="G121" s="78">
        <f t="shared" si="12"/>
        <v>0</v>
      </c>
      <c r="H121" s="39">
        <f t="shared" si="14"/>
        <v>0</v>
      </c>
      <c r="I121" s="23"/>
      <c r="J121" s="89">
        <f t="shared" si="11"/>
        <v>0</v>
      </c>
      <c r="K121" s="89">
        <f t="shared" si="9"/>
        <v>0</v>
      </c>
      <c r="L121" s="89">
        <f t="shared" si="10"/>
        <v>0</v>
      </c>
      <c r="M121" s="148"/>
      <c r="N121" s="89">
        <f t="shared" si="8"/>
        <v>0</v>
      </c>
      <c r="O121" s="227">
        <f t="shared" si="15"/>
        <v>0</v>
      </c>
      <c r="P121" s="203"/>
      <c r="Q121" s="203"/>
      <c r="R121" s="225"/>
      <c r="S121" s="224"/>
    </row>
    <row r="122" spans="1:26" ht="15" customHeight="1" x14ac:dyDescent="0.25">
      <c r="A122" s="117"/>
      <c r="B122" s="43"/>
      <c r="C122" s="44" t="s">
        <v>186</v>
      </c>
      <c r="D122" s="46" t="s">
        <v>598</v>
      </c>
      <c r="E122" s="48">
        <v>13000</v>
      </c>
      <c r="F122" s="48"/>
      <c r="G122" s="78">
        <f t="shared" si="12"/>
        <v>13000</v>
      </c>
      <c r="H122" s="39">
        <f t="shared" si="14"/>
        <v>13000</v>
      </c>
      <c r="I122" s="23"/>
      <c r="J122" s="89"/>
      <c r="K122" s="89"/>
      <c r="L122" s="89"/>
      <c r="M122" s="148"/>
      <c r="N122" s="89"/>
      <c r="O122" s="227">
        <f t="shared" si="15"/>
        <v>0</v>
      </c>
      <c r="P122" s="203">
        <v>13000</v>
      </c>
      <c r="Q122" s="203"/>
      <c r="R122" s="225"/>
      <c r="S122" s="224"/>
    </row>
    <row r="123" spans="1:26" ht="17.25" hidden="1" customHeight="1" x14ac:dyDescent="0.25">
      <c r="A123" s="117"/>
      <c r="B123" s="43"/>
      <c r="C123" s="44" t="s">
        <v>582</v>
      </c>
      <c r="D123" s="46" t="s">
        <v>583</v>
      </c>
      <c r="E123" s="48"/>
      <c r="F123" s="48"/>
      <c r="G123" s="78">
        <f t="shared" si="12"/>
        <v>0</v>
      </c>
      <c r="H123" s="39">
        <f t="shared" si="14"/>
        <v>0</v>
      </c>
      <c r="I123" s="23"/>
      <c r="J123" s="89">
        <f t="shared" si="11"/>
        <v>0</v>
      </c>
      <c r="K123" s="89">
        <f t="shared" si="9"/>
        <v>0</v>
      </c>
      <c r="L123" s="89">
        <f t="shared" si="10"/>
        <v>0</v>
      </c>
      <c r="M123" s="148"/>
      <c r="N123" s="89">
        <f t="shared" si="8"/>
        <v>0</v>
      </c>
      <c r="O123" s="227">
        <f t="shared" si="15"/>
        <v>0</v>
      </c>
      <c r="P123" s="203"/>
      <c r="Q123" s="203"/>
      <c r="R123" s="225"/>
      <c r="S123" s="224"/>
    </row>
    <row r="124" spans="1:26" ht="15.75" x14ac:dyDescent="0.25">
      <c r="A124" s="117"/>
      <c r="B124" s="43"/>
      <c r="C124" s="44" t="s">
        <v>584</v>
      </c>
      <c r="D124" s="46" t="s">
        <v>585</v>
      </c>
      <c r="E124" s="48">
        <v>3379.06</v>
      </c>
      <c r="F124" s="48">
        <v>15088.04</v>
      </c>
      <c r="G124" s="78">
        <v>0</v>
      </c>
      <c r="H124" s="39">
        <f t="shared" si="14"/>
        <v>15088.04</v>
      </c>
      <c r="I124" s="89">
        <v>30000</v>
      </c>
      <c r="J124" s="89">
        <f t="shared" si="11"/>
        <v>14911.96</v>
      </c>
      <c r="K124" s="89">
        <f t="shared" si="9"/>
        <v>14911.96</v>
      </c>
      <c r="L124" s="89">
        <f t="shared" si="10"/>
        <v>14911.96</v>
      </c>
      <c r="M124" s="148">
        <v>30000</v>
      </c>
      <c r="N124" s="89">
        <f t="shared" si="8"/>
        <v>-14911.96</v>
      </c>
      <c r="O124" s="227">
        <f t="shared" si="15"/>
        <v>0</v>
      </c>
      <c r="P124" s="203"/>
      <c r="Q124" s="203"/>
      <c r="R124" s="225"/>
      <c r="S124" s="224"/>
    </row>
    <row r="125" spans="1:26" ht="15.75" x14ac:dyDescent="0.25">
      <c r="A125" s="117"/>
      <c r="B125" s="43"/>
      <c r="C125" s="44" t="s">
        <v>191</v>
      </c>
      <c r="D125" s="46" t="s">
        <v>599</v>
      </c>
      <c r="E125" s="158">
        <v>44775</v>
      </c>
      <c r="F125" s="158"/>
      <c r="G125" s="78">
        <f t="shared" si="12"/>
        <v>60625</v>
      </c>
      <c r="H125" s="39">
        <f t="shared" si="14"/>
        <v>60625</v>
      </c>
      <c r="I125" s="89"/>
      <c r="J125" s="89"/>
      <c r="K125" s="89"/>
      <c r="L125" s="89"/>
      <c r="M125" s="148"/>
      <c r="N125" s="89"/>
      <c r="O125" s="227">
        <f t="shared" si="15"/>
        <v>60625</v>
      </c>
      <c r="P125" s="203">
        <v>60625</v>
      </c>
      <c r="Q125" s="203"/>
      <c r="R125" s="225">
        <v>60625</v>
      </c>
      <c r="S125" s="224"/>
    </row>
    <row r="126" spans="1:26" ht="13.5" customHeight="1" x14ac:dyDescent="0.25">
      <c r="A126" s="117"/>
      <c r="B126" s="43"/>
      <c r="C126" s="44" t="s">
        <v>586</v>
      </c>
      <c r="D126" s="46" t="s">
        <v>587</v>
      </c>
      <c r="E126" s="48">
        <v>34969.53</v>
      </c>
      <c r="F126" s="48">
        <v>14060.19</v>
      </c>
      <c r="G126" s="78">
        <f t="shared" si="12"/>
        <v>85939.81</v>
      </c>
      <c r="H126" s="39">
        <f t="shared" si="14"/>
        <v>100000</v>
      </c>
      <c r="I126" s="23"/>
      <c r="J126" s="89">
        <f t="shared" si="11"/>
        <v>-14060.19</v>
      </c>
      <c r="K126" s="89">
        <f t="shared" si="9"/>
        <v>-100000</v>
      </c>
      <c r="L126" s="89">
        <f t="shared" si="10"/>
        <v>-14060.19</v>
      </c>
      <c r="M126" s="148"/>
      <c r="N126" s="89">
        <f t="shared" si="8"/>
        <v>100000</v>
      </c>
      <c r="O126" s="227">
        <f t="shared" si="15"/>
        <v>100000</v>
      </c>
      <c r="P126" s="203">
        <v>100000</v>
      </c>
      <c r="Q126" s="203"/>
      <c r="R126" s="225">
        <v>100000</v>
      </c>
      <c r="S126" s="224"/>
    </row>
    <row r="127" spans="1:26" ht="14.25" customHeight="1" x14ac:dyDescent="0.25">
      <c r="A127" s="117"/>
      <c r="B127" s="43"/>
      <c r="C127" s="155" t="s">
        <v>549</v>
      </c>
      <c r="D127" s="46" t="s">
        <v>548</v>
      </c>
      <c r="E127" s="157">
        <v>5000</v>
      </c>
      <c r="F127" s="48"/>
      <c r="G127" s="78">
        <f t="shared" si="12"/>
        <v>0</v>
      </c>
      <c r="H127" s="39">
        <f t="shared" si="14"/>
        <v>0</v>
      </c>
      <c r="I127" s="23"/>
      <c r="J127" s="89"/>
      <c r="K127" s="89"/>
      <c r="L127" s="89"/>
      <c r="M127" s="148"/>
      <c r="N127" s="89"/>
      <c r="O127" s="227">
        <f t="shared" si="15"/>
        <v>0</v>
      </c>
      <c r="P127" s="203"/>
      <c r="Q127" s="203"/>
      <c r="R127" s="225"/>
      <c r="S127" s="224"/>
    </row>
    <row r="128" spans="1:26" ht="15.75" x14ac:dyDescent="0.25">
      <c r="A128" s="117"/>
      <c r="B128" s="43"/>
      <c r="C128" s="155" t="s">
        <v>588</v>
      </c>
      <c r="D128" s="46" t="s">
        <v>559</v>
      </c>
      <c r="E128" s="157">
        <v>145589</v>
      </c>
      <c r="F128" s="48">
        <v>46500</v>
      </c>
      <c r="G128" s="78">
        <f t="shared" si="12"/>
        <v>506500</v>
      </c>
      <c r="H128" s="39">
        <f t="shared" si="14"/>
        <v>553000</v>
      </c>
      <c r="I128" s="23"/>
      <c r="J128" s="89">
        <f t="shared" si="11"/>
        <v>-46500</v>
      </c>
      <c r="K128" s="89">
        <f t="shared" si="9"/>
        <v>-553000</v>
      </c>
      <c r="L128" s="89">
        <f t="shared" si="10"/>
        <v>103500</v>
      </c>
      <c r="M128" s="148">
        <f>150000</f>
        <v>150000</v>
      </c>
      <c r="N128" s="89">
        <f t="shared" si="8"/>
        <v>403000</v>
      </c>
      <c r="O128" s="227">
        <f t="shared" si="15"/>
        <v>136000</v>
      </c>
      <c r="P128" s="203">
        <f>33000+400000+120000</f>
        <v>553000</v>
      </c>
      <c r="Q128" s="203"/>
      <c r="R128" s="225">
        <v>16000</v>
      </c>
      <c r="S128" s="224">
        <v>120000</v>
      </c>
    </row>
    <row r="129" spans="1:40" ht="15.75" x14ac:dyDescent="0.25">
      <c r="A129" s="117"/>
      <c r="B129" s="43"/>
      <c r="C129" s="44" t="s">
        <v>563</v>
      </c>
      <c r="D129" s="46" t="s">
        <v>562</v>
      </c>
      <c r="E129" s="48">
        <v>1774960</v>
      </c>
      <c r="F129" s="48">
        <f>835320+258691</f>
        <v>1094011</v>
      </c>
      <c r="G129" s="78">
        <v>0</v>
      </c>
      <c r="H129" s="39">
        <f t="shared" si="14"/>
        <v>1094011</v>
      </c>
      <c r="I129" s="102">
        <v>57130.04</v>
      </c>
      <c r="J129" s="89">
        <f t="shared" si="11"/>
        <v>-1036880.96</v>
      </c>
      <c r="K129" s="89">
        <f t="shared" si="9"/>
        <v>-1036880.96</v>
      </c>
      <c r="L129" s="89">
        <f t="shared" si="10"/>
        <v>-994011</v>
      </c>
      <c r="M129" s="148">
        <v>100000</v>
      </c>
      <c r="N129" s="89">
        <f t="shared" si="8"/>
        <v>994011</v>
      </c>
      <c r="O129" s="227">
        <f t="shared" si="15"/>
        <v>745000</v>
      </c>
      <c r="P129" s="203">
        <f>700000+81000+75000+25000</f>
        <v>881000</v>
      </c>
      <c r="Q129" s="203"/>
      <c r="R129" s="225">
        <v>700000</v>
      </c>
      <c r="S129" s="224">
        <v>10000</v>
      </c>
      <c r="T129" s="234">
        <v>10000</v>
      </c>
      <c r="U129" s="234">
        <v>25000</v>
      </c>
    </row>
    <row r="130" spans="1:40" ht="15" customHeight="1" x14ac:dyDescent="0.25">
      <c r="A130" s="117"/>
      <c r="B130" s="43"/>
      <c r="C130" s="44" t="s">
        <v>645</v>
      </c>
      <c r="D130" s="46" t="s">
        <v>646</v>
      </c>
      <c r="E130" s="48"/>
      <c r="F130" s="48"/>
      <c r="G130" s="78">
        <f t="shared" si="12"/>
        <v>172040.36</v>
      </c>
      <c r="H130" s="39">
        <f t="shared" si="14"/>
        <v>172040.36</v>
      </c>
      <c r="I130" s="102"/>
      <c r="J130" s="89"/>
      <c r="K130" s="89"/>
      <c r="L130" s="89"/>
      <c r="M130" s="148"/>
      <c r="N130" s="89"/>
      <c r="O130" s="227">
        <f t="shared" si="15"/>
        <v>15000</v>
      </c>
      <c r="P130" s="203">
        <f>15000+157040.36</f>
        <v>172040.36</v>
      </c>
      <c r="Q130" s="203"/>
      <c r="R130" s="225">
        <v>15000</v>
      </c>
      <c r="S130" s="224"/>
    </row>
    <row r="131" spans="1:40" ht="15.75" x14ac:dyDescent="0.25">
      <c r="A131" s="117"/>
      <c r="B131" s="43"/>
      <c r="C131" s="44" t="s">
        <v>560</v>
      </c>
      <c r="D131" s="46" t="s">
        <v>561</v>
      </c>
      <c r="E131" s="48">
        <v>29709.39</v>
      </c>
      <c r="F131" s="48">
        <v>29709.39</v>
      </c>
      <c r="G131" s="78">
        <f t="shared" si="12"/>
        <v>20290.61</v>
      </c>
      <c r="H131" s="39">
        <f t="shared" si="14"/>
        <v>50000</v>
      </c>
      <c r="I131" s="102">
        <f>600000+10000-50000</f>
        <v>560000</v>
      </c>
      <c r="J131" s="89">
        <f t="shared" si="11"/>
        <v>530290.61</v>
      </c>
      <c r="K131" s="89">
        <f t="shared" si="9"/>
        <v>510000</v>
      </c>
      <c r="L131" s="89">
        <f t="shared" si="10"/>
        <v>770290.61</v>
      </c>
      <c r="M131" s="148">
        <v>800000</v>
      </c>
      <c r="N131" s="89">
        <f t="shared" si="8"/>
        <v>-750000</v>
      </c>
      <c r="O131" s="227">
        <f t="shared" si="15"/>
        <v>50000</v>
      </c>
      <c r="P131" s="203">
        <v>50000</v>
      </c>
      <c r="Q131" s="203"/>
      <c r="R131" s="225">
        <v>50000</v>
      </c>
      <c r="S131" s="224"/>
    </row>
    <row r="132" spans="1:40" ht="15.75" x14ac:dyDescent="0.25">
      <c r="A132" s="117"/>
      <c r="B132" s="43"/>
      <c r="C132" s="44" t="s">
        <v>544</v>
      </c>
      <c r="D132" s="46" t="s">
        <v>545</v>
      </c>
      <c r="E132" s="48">
        <v>56600</v>
      </c>
      <c r="F132" s="48">
        <v>36200</v>
      </c>
      <c r="G132" s="78">
        <f t="shared" si="12"/>
        <v>17600</v>
      </c>
      <c r="H132" s="39">
        <f t="shared" si="14"/>
        <v>53800</v>
      </c>
      <c r="I132" s="102">
        <v>79082</v>
      </c>
      <c r="J132" s="89">
        <f t="shared" si="11"/>
        <v>42882</v>
      </c>
      <c r="K132" s="89">
        <f t="shared" si="9"/>
        <v>25282</v>
      </c>
      <c r="L132" s="89">
        <f t="shared" si="10"/>
        <v>1023800</v>
      </c>
      <c r="M132" s="148">
        <v>1060000</v>
      </c>
      <c r="N132" s="89">
        <f t="shared" si="8"/>
        <v>-1006200</v>
      </c>
      <c r="O132" s="227">
        <f t="shared" si="15"/>
        <v>52300</v>
      </c>
      <c r="P132" s="203">
        <f>28800+25000</f>
        <v>53800</v>
      </c>
      <c r="Q132" s="203"/>
      <c r="R132" s="225">
        <v>25000</v>
      </c>
      <c r="S132" s="224">
        <v>27300</v>
      </c>
    </row>
    <row r="133" spans="1:40" ht="15.75" x14ac:dyDescent="0.25">
      <c r="A133" s="117"/>
      <c r="B133" s="43"/>
      <c r="C133" s="44" t="s">
        <v>632</v>
      </c>
      <c r="D133" s="46" t="s">
        <v>631</v>
      </c>
      <c r="E133" s="48"/>
      <c r="F133" s="48"/>
      <c r="G133" s="78">
        <f t="shared" si="12"/>
        <v>25000</v>
      </c>
      <c r="H133" s="39">
        <f t="shared" si="14"/>
        <v>25000</v>
      </c>
      <c r="I133" s="103"/>
      <c r="J133" s="89"/>
      <c r="K133" s="89"/>
      <c r="L133" s="89"/>
      <c r="M133" s="148"/>
      <c r="N133" s="89"/>
      <c r="O133" s="227">
        <f t="shared" si="15"/>
        <v>25000</v>
      </c>
      <c r="P133" s="203">
        <v>25000</v>
      </c>
      <c r="Q133" s="203"/>
      <c r="R133" s="225">
        <v>25000</v>
      </c>
      <c r="S133" s="224"/>
    </row>
    <row r="134" spans="1:40" ht="15.75" x14ac:dyDescent="0.25">
      <c r="A134" s="117"/>
      <c r="B134" s="43"/>
      <c r="C134" s="44" t="s">
        <v>187</v>
      </c>
      <c r="D134" s="46" t="s">
        <v>589</v>
      </c>
      <c r="E134" s="48">
        <v>2896686.38</v>
      </c>
      <c r="F134" s="48">
        <v>134000</v>
      </c>
      <c r="G134" s="78">
        <f t="shared" si="12"/>
        <v>800000</v>
      </c>
      <c r="H134" s="39">
        <f t="shared" si="14"/>
        <v>934000</v>
      </c>
      <c r="I134" s="23"/>
      <c r="J134" s="89">
        <f t="shared" si="11"/>
        <v>-134000</v>
      </c>
      <c r="K134" s="89">
        <f t="shared" si="9"/>
        <v>-934000</v>
      </c>
      <c r="L134" s="89">
        <f t="shared" si="10"/>
        <v>-134000</v>
      </c>
      <c r="M134" s="148"/>
      <c r="N134" s="89">
        <f t="shared" si="8"/>
        <v>934000</v>
      </c>
      <c r="O134" s="227">
        <f t="shared" si="15"/>
        <v>1155000</v>
      </c>
      <c r="P134" s="203">
        <f>200000+400000+170000+50000+114000</f>
        <v>934000</v>
      </c>
      <c r="Q134" s="203"/>
      <c r="R134" s="225">
        <v>200000</v>
      </c>
      <c r="S134" s="224">
        <v>13000</v>
      </c>
      <c r="T134" s="224">
        <v>5000</v>
      </c>
      <c r="U134" s="231">
        <v>117000</v>
      </c>
      <c r="V134" s="234">
        <v>500000</v>
      </c>
      <c r="W134" s="230">
        <v>170000</v>
      </c>
      <c r="X134" s="230">
        <v>150000</v>
      </c>
    </row>
    <row r="135" spans="1:40" ht="12.75" customHeight="1" x14ac:dyDescent="0.25">
      <c r="A135" s="117"/>
      <c r="B135" s="43"/>
      <c r="C135" s="44" t="s">
        <v>208</v>
      </c>
      <c r="D135" s="46" t="s">
        <v>590</v>
      </c>
      <c r="E135" s="48">
        <v>6857537.5</v>
      </c>
      <c r="F135" s="48">
        <v>5981967.5</v>
      </c>
      <c r="G135" s="78">
        <v>0</v>
      </c>
      <c r="H135" s="39">
        <f t="shared" si="14"/>
        <v>5981967.5</v>
      </c>
      <c r="I135" s="23">
        <v>400000</v>
      </c>
      <c r="J135" s="89">
        <f t="shared" si="11"/>
        <v>-5581967.5</v>
      </c>
      <c r="K135" s="89">
        <f t="shared" si="9"/>
        <v>-5581967.5</v>
      </c>
      <c r="L135" s="89">
        <f t="shared" si="10"/>
        <v>-5981967.5</v>
      </c>
      <c r="M135" s="148"/>
      <c r="N135" s="89">
        <f t="shared" ref="N135:N190" si="16">H135-M135</f>
        <v>5981967.5</v>
      </c>
      <c r="O135" s="227">
        <f>SUM(R135:AS135)</f>
        <v>8720727.75</v>
      </c>
      <c r="P135" s="203">
        <f>400000+500000+150000+100000+100000+100000+500000+100000+150000+31000+50000+10000+5000+200000+90000+700000+500000+500000+858938+900000+861118.05+400000+500000+200000+200000+150000+500000+100000+5000-941816-0.74-150000+400000-650000+200000</f>
        <v>7719239.3100000005</v>
      </c>
      <c r="Q135" s="203"/>
      <c r="R135" s="231">
        <v>0</v>
      </c>
      <c r="S135" s="231">
        <v>400000</v>
      </c>
      <c r="T135" s="231">
        <v>200000</v>
      </c>
      <c r="U135" s="231">
        <v>500000</v>
      </c>
      <c r="V135" s="231">
        <v>500000</v>
      </c>
      <c r="W135" s="231">
        <v>850000</v>
      </c>
      <c r="X135" s="231">
        <v>149572.95000000001</v>
      </c>
      <c r="Y135" s="231">
        <v>50000</v>
      </c>
      <c r="Z135" s="231">
        <v>31500</v>
      </c>
      <c r="AA135" s="231">
        <v>185000</v>
      </c>
      <c r="AB135" s="231">
        <v>90000</v>
      </c>
      <c r="AC135" s="231">
        <v>31500</v>
      </c>
      <c r="AD135" s="231">
        <v>200000</v>
      </c>
      <c r="AE135" s="231">
        <v>10000</v>
      </c>
      <c r="AF135" s="231">
        <v>5000</v>
      </c>
      <c r="AG135" s="231">
        <v>500000</v>
      </c>
      <c r="AH135" s="231">
        <v>1000000</v>
      </c>
      <c r="AI135" s="231">
        <v>1000000</v>
      </c>
      <c r="AJ135" s="231">
        <v>1000000</v>
      </c>
      <c r="AK135" s="231">
        <v>1000000</v>
      </c>
      <c r="AL135" s="231">
        <v>500000</v>
      </c>
      <c r="AM135" s="231">
        <v>348154.8</v>
      </c>
      <c r="AN135" s="231">
        <v>170000</v>
      </c>
    </row>
    <row r="136" spans="1:40" ht="13.5" customHeight="1" x14ac:dyDescent="0.25">
      <c r="A136" s="109"/>
      <c r="B136" s="32"/>
      <c r="C136" s="44" t="s">
        <v>591</v>
      </c>
      <c r="D136" s="46" t="s">
        <v>592</v>
      </c>
      <c r="E136" s="48">
        <v>1002329.45</v>
      </c>
      <c r="F136" s="48">
        <v>419197.41</v>
      </c>
      <c r="G136" s="78">
        <f t="shared" si="12"/>
        <v>1483856.7400000005</v>
      </c>
      <c r="H136" s="39">
        <f t="shared" si="14"/>
        <v>1903054.1500000004</v>
      </c>
      <c r="I136" s="99">
        <v>150000</v>
      </c>
      <c r="J136" s="89">
        <f t="shared" si="11"/>
        <v>-269197.40999999997</v>
      </c>
      <c r="K136" s="89">
        <f t="shared" si="9"/>
        <v>-1753054.1500000004</v>
      </c>
      <c r="L136" s="89">
        <f t="shared" ref="L136:L147" si="17">M136-F136</f>
        <v>-269197.40999999997</v>
      </c>
      <c r="M136" s="148">
        <v>150000</v>
      </c>
      <c r="N136" s="89">
        <f t="shared" si="16"/>
        <v>1753054.1500000004</v>
      </c>
      <c r="O136" s="227">
        <f t="shared" si="15"/>
        <v>0</v>
      </c>
      <c r="P136" s="203">
        <f>4678063.15-P189</f>
        <v>1903054.1500000004</v>
      </c>
      <c r="Q136" s="203"/>
      <c r="R136" s="225"/>
      <c r="S136" s="224"/>
    </row>
    <row r="137" spans="1:40" ht="15.75" hidden="1" x14ac:dyDescent="0.25">
      <c r="A137" s="109"/>
      <c r="B137" s="32"/>
      <c r="C137" s="44" t="s">
        <v>183</v>
      </c>
      <c r="D137" s="46">
        <v>856</v>
      </c>
      <c r="E137" s="48"/>
      <c r="F137" s="48"/>
      <c r="G137" s="78">
        <f t="shared" si="12"/>
        <v>0</v>
      </c>
      <c r="H137" s="39">
        <f t="shared" si="14"/>
        <v>0</v>
      </c>
      <c r="I137" s="23">
        <v>100000</v>
      </c>
      <c r="J137" s="89">
        <f t="shared" si="11"/>
        <v>100000</v>
      </c>
      <c r="K137" s="89">
        <f t="shared" si="9"/>
        <v>100000</v>
      </c>
      <c r="L137" s="89">
        <f t="shared" si="17"/>
        <v>0</v>
      </c>
      <c r="M137" s="148"/>
      <c r="N137" s="89">
        <f t="shared" si="16"/>
        <v>0</v>
      </c>
      <c r="O137" s="227">
        <f t="shared" si="15"/>
        <v>0</v>
      </c>
      <c r="P137" s="203"/>
      <c r="Q137" s="203"/>
      <c r="R137" s="225"/>
      <c r="S137" s="224"/>
    </row>
    <row r="138" spans="1:40" ht="15.75" x14ac:dyDescent="0.25">
      <c r="A138" s="109"/>
      <c r="B138" s="32"/>
      <c r="C138" s="155" t="s">
        <v>211</v>
      </c>
      <c r="D138" s="156" t="s">
        <v>593</v>
      </c>
      <c r="E138" s="133">
        <v>10742.76</v>
      </c>
      <c r="F138" s="48">
        <v>5607.63</v>
      </c>
      <c r="G138" s="78">
        <v>0</v>
      </c>
      <c r="H138" s="39">
        <f t="shared" si="14"/>
        <v>5607.63</v>
      </c>
      <c r="I138" s="23">
        <f>500000+650000+500000</f>
        <v>1650000</v>
      </c>
      <c r="J138" s="89">
        <f t="shared" si="11"/>
        <v>1644392.37</v>
      </c>
      <c r="K138" s="89">
        <f t="shared" si="9"/>
        <v>1644392.37</v>
      </c>
      <c r="L138" s="89">
        <f t="shared" si="17"/>
        <v>994392.37</v>
      </c>
      <c r="M138" s="148">
        <f>1000000</f>
        <v>1000000</v>
      </c>
      <c r="N138" s="89">
        <f t="shared" si="16"/>
        <v>-994392.37</v>
      </c>
      <c r="O138" s="227">
        <f t="shared" si="15"/>
        <v>0</v>
      </c>
      <c r="P138" s="203"/>
      <c r="Q138" s="203"/>
      <c r="R138" s="225"/>
      <c r="S138" s="224"/>
    </row>
    <row r="139" spans="1:40" ht="15.75" x14ac:dyDescent="0.25">
      <c r="A139" s="118"/>
      <c r="B139" s="50"/>
      <c r="C139" s="44" t="s">
        <v>369</v>
      </c>
      <c r="D139" s="46" t="s">
        <v>600</v>
      </c>
      <c r="E139" s="158">
        <v>25505.58</v>
      </c>
      <c r="F139" s="158"/>
      <c r="G139" s="78">
        <f t="shared" si="12"/>
        <v>0</v>
      </c>
      <c r="H139" s="39">
        <f t="shared" si="14"/>
        <v>0</v>
      </c>
      <c r="I139" s="23"/>
      <c r="J139" s="89"/>
      <c r="K139" s="89"/>
      <c r="L139" s="89">
        <f t="shared" si="17"/>
        <v>0</v>
      </c>
      <c r="M139" s="148"/>
      <c r="N139" s="89">
        <f t="shared" si="16"/>
        <v>0</v>
      </c>
      <c r="O139" s="227">
        <f t="shared" si="15"/>
        <v>0</v>
      </c>
      <c r="P139" s="203"/>
      <c r="Q139" s="203"/>
      <c r="R139" s="225"/>
      <c r="S139" s="224"/>
    </row>
    <row r="140" spans="1:40" ht="12.75" customHeight="1" x14ac:dyDescent="0.25">
      <c r="A140" s="118"/>
      <c r="B140" s="50"/>
      <c r="C140" s="44" t="s">
        <v>601</v>
      </c>
      <c r="D140" s="46" t="s">
        <v>602</v>
      </c>
      <c r="E140" s="158">
        <v>416926.7</v>
      </c>
      <c r="F140" s="158"/>
      <c r="G140" s="78">
        <f t="shared" si="12"/>
        <v>0</v>
      </c>
      <c r="H140" s="39">
        <f t="shared" si="14"/>
        <v>0</v>
      </c>
      <c r="I140" s="23"/>
      <c r="J140" s="89">
        <f t="shared" si="11"/>
        <v>0</v>
      </c>
      <c r="K140" s="89">
        <f t="shared" ref="K140:K190" si="18">I140-H140</f>
        <v>0</v>
      </c>
      <c r="L140" s="89">
        <f t="shared" si="17"/>
        <v>0</v>
      </c>
      <c r="M140" s="148"/>
      <c r="N140" s="89">
        <f t="shared" si="16"/>
        <v>0</v>
      </c>
      <c r="O140" s="227">
        <f t="shared" si="15"/>
        <v>0</v>
      </c>
      <c r="P140" s="203"/>
      <c r="Q140" s="203"/>
      <c r="R140" s="225"/>
      <c r="S140" s="224"/>
    </row>
    <row r="141" spans="1:40" ht="15.75" x14ac:dyDescent="0.25">
      <c r="A141" s="118"/>
      <c r="B141" s="50"/>
      <c r="C141" s="44" t="s">
        <v>604</v>
      </c>
      <c r="D141" s="46" t="s">
        <v>603</v>
      </c>
      <c r="E141" s="158">
        <v>1639448.48</v>
      </c>
      <c r="F141" s="158"/>
      <c r="G141" s="78">
        <f t="shared" si="12"/>
        <v>0</v>
      </c>
      <c r="H141" s="39">
        <f t="shared" si="14"/>
        <v>0</v>
      </c>
      <c r="I141" s="23"/>
      <c r="J141" s="89">
        <f t="shared" si="11"/>
        <v>0</v>
      </c>
      <c r="K141" s="89">
        <f t="shared" si="18"/>
        <v>0</v>
      </c>
      <c r="L141" s="89">
        <f t="shared" si="17"/>
        <v>0</v>
      </c>
      <c r="M141" s="148"/>
      <c r="N141" s="89">
        <f t="shared" si="16"/>
        <v>0</v>
      </c>
      <c r="O141" s="227">
        <f t="shared" si="15"/>
        <v>0</v>
      </c>
      <c r="P141" s="203"/>
      <c r="Q141" s="203"/>
      <c r="R141" s="225"/>
      <c r="S141" s="224"/>
    </row>
    <row r="142" spans="1:40" ht="15.75" x14ac:dyDescent="0.25">
      <c r="A142" s="118"/>
      <c r="B142" s="50"/>
      <c r="C142" s="44" t="s">
        <v>605</v>
      </c>
      <c r="D142" s="46" t="s">
        <v>606</v>
      </c>
      <c r="E142" s="158">
        <v>1161698.0900000001</v>
      </c>
      <c r="F142" s="158"/>
      <c r="G142" s="78">
        <f t="shared" si="12"/>
        <v>0</v>
      </c>
      <c r="H142" s="39">
        <f t="shared" si="14"/>
        <v>0</v>
      </c>
      <c r="I142" s="23"/>
      <c r="J142" s="89">
        <f t="shared" si="11"/>
        <v>0</v>
      </c>
      <c r="K142" s="89">
        <f t="shared" si="18"/>
        <v>0</v>
      </c>
      <c r="L142" s="89">
        <f t="shared" si="17"/>
        <v>0</v>
      </c>
      <c r="M142" s="148"/>
      <c r="N142" s="89">
        <f t="shared" si="16"/>
        <v>0</v>
      </c>
      <c r="O142" s="227">
        <f t="shared" si="15"/>
        <v>0</v>
      </c>
      <c r="P142" s="203"/>
      <c r="Q142" s="203"/>
      <c r="R142" s="225"/>
      <c r="S142" s="224"/>
    </row>
    <row r="143" spans="1:40" ht="15.75" x14ac:dyDescent="0.25">
      <c r="A143" s="118"/>
      <c r="B143" s="50"/>
      <c r="C143" s="44" t="s">
        <v>607</v>
      </c>
      <c r="D143" s="46" t="s">
        <v>608</v>
      </c>
      <c r="E143" s="158">
        <v>347464.88</v>
      </c>
      <c r="F143" s="158"/>
      <c r="G143" s="78">
        <f t="shared" si="12"/>
        <v>0</v>
      </c>
      <c r="H143" s="39">
        <f t="shared" si="14"/>
        <v>0</v>
      </c>
      <c r="I143" s="23"/>
      <c r="J143" s="89">
        <f t="shared" si="11"/>
        <v>0</v>
      </c>
      <c r="K143" s="89">
        <f t="shared" si="18"/>
        <v>0</v>
      </c>
      <c r="L143" s="89">
        <f t="shared" si="17"/>
        <v>0</v>
      </c>
      <c r="M143" s="148"/>
      <c r="N143" s="89">
        <f t="shared" si="16"/>
        <v>0</v>
      </c>
      <c r="O143" s="227">
        <f t="shared" si="15"/>
        <v>0</v>
      </c>
      <c r="P143" s="203"/>
      <c r="Q143" s="203"/>
      <c r="R143" s="225"/>
      <c r="S143" s="224"/>
    </row>
    <row r="144" spans="1:40" ht="15" customHeight="1" thickBot="1" x14ac:dyDescent="0.3">
      <c r="A144" s="196"/>
      <c r="B144" s="197"/>
      <c r="C144" s="198" t="s">
        <v>610</v>
      </c>
      <c r="D144" s="181" t="s">
        <v>609</v>
      </c>
      <c r="E144" s="199">
        <v>104411.34</v>
      </c>
      <c r="F144" s="199"/>
      <c r="G144" s="170">
        <f t="shared" si="12"/>
        <v>0</v>
      </c>
      <c r="H144" s="177">
        <f t="shared" si="14"/>
        <v>0</v>
      </c>
      <c r="I144" s="172"/>
      <c r="J144" s="173">
        <f t="shared" si="11"/>
        <v>0</v>
      </c>
      <c r="K144" s="173">
        <f t="shared" si="18"/>
        <v>0</v>
      </c>
      <c r="L144" s="173">
        <f t="shared" si="17"/>
        <v>0</v>
      </c>
      <c r="M144" s="187"/>
      <c r="N144" s="173">
        <f t="shared" si="16"/>
        <v>0</v>
      </c>
      <c r="O144" s="235">
        <f t="shared" si="15"/>
        <v>0</v>
      </c>
      <c r="P144" s="203"/>
      <c r="Q144" s="203"/>
      <c r="R144" s="225"/>
      <c r="S144" s="224"/>
    </row>
    <row r="145" spans="1:19" ht="10.5" customHeight="1" thickBot="1" x14ac:dyDescent="0.3">
      <c r="A145" s="118"/>
      <c r="B145" s="50"/>
      <c r="C145" s="44"/>
      <c r="D145" s="46"/>
      <c r="E145" s="158"/>
      <c r="F145" s="158"/>
      <c r="G145" s="78"/>
      <c r="H145" s="39"/>
      <c r="I145" s="23"/>
      <c r="J145" s="89"/>
      <c r="K145" s="89"/>
      <c r="L145" s="89"/>
      <c r="M145" s="148"/>
      <c r="N145" s="89"/>
      <c r="O145" s="110"/>
      <c r="P145" s="203"/>
      <c r="Q145" s="203"/>
      <c r="R145" s="225"/>
      <c r="S145" s="224"/>
    </row>
    <row r="146" spans="1:19" ht="15.75" x14ac:dyDescent="0.25">
      <c r="A146" s="134"/>
      <c r="B146" s="135"/>
      <c r="C146" s="200" t="s">
        <v>611</v>
      </c>
      <c r="D146" s="191" t="s">
        <v>612</v>
      </c>
      <c r="E146" s="201">
        <v>80788.25</v>
      </c>
      <c r="F146" s="201"/>
      <c r="G146" s="174">
        <f t="shared" si="12"/>
        <v>0</v>
      </c>
      <c r="H146" s="129">
        <f t="shared" si="14"/>
        <v>0</v>
      </c>
      <c r="I146" s="165"/>
      <c r="J146" s="175">
        <f t="shared" si="11"/>
        <v>0</v>
      </c>
      <c r="K146" s="175">
        <f t="shared" si="18"/>
        <v>0</v>
      </c>
      <c r="L146" s="175">
        <f t="shared" si="17"/>
        <v>0</v>
      </c>
      <c r="M146" s="195"/>
      <c r="N146" s="175">
        <f t="shared" si="16"/>
        <v>0</v>
      </c>
      <c r="O146" s="213"/>
      <c r="P146" s="203"/>
      <c r="Q146" s="203"/>
      <c r="R146" s="225"/>
      <c r="S146" s="224"/>
    </row>
    <row r="147" spans="1:19" ht="12.75" customHeight="1" x14ac:dyDescent="0.25">
      <c r="A147" s="118"/>
      <c r="B147" s="50"/>
      <c r="C147" s="44" t="s">
        <v>613</v>
      </c>
      <c r="D147" s="46" t="s">
        <v>614</v>
      </c>
      <c r="E147" s="158">
        <v>31267.14</v>
      </c>
      <c r="F147" s="164"/>
      <c r="G147" s="78">
        <f t="shared" si="12"/>
        <v>0</v>
      </c>
      <c r="H147" s="101">
        <f t="shared" si="14"/>
        <v>0</v>
      </c>
      <c r="I147" s="23"/>
      <c r="J147" s="89">
        <f t="shared" si="11"/>
        <v>0</v>
      </c>
      <c r="K147" s="89">
        <f t="shared" si="18"/>
        <v>0</v>
      </c>
      <c r="L147" s="89">
        <f t="shared" si="17"/>
        <v>0</v>
      </c>
      <c r="M147" s="148"/>
      <c r="N147" s="89">
        <f t="shared" si="16"/>
        <v>0</v>
      </c>
      <c r="O147" s="110"/>
      <c r="P147" s="203"/>
      <c r="Q147" s="203"/>
      <c r="R147" s="225"/>
      <c r="S147" s="224"/>
    </row>
    <row r="148" spans="1:19" ht="15.75" hidden="1" x14ac:dyDescent="0.25">
      <c r="A148" s="118"/>
      <c r="B148" s="50"/>
      <c r="C148" s="44"/>
      <c r="D148" s="46"/>
      <c r="E148" s="158"/>
      <c r="F148" s="158"/>
      <c r="G148" s="48"/>
      <c r="H148" s="48"/>
      <c r="I148" s="23"/>
      <c r="J148" s="89"/>
      <c r="K148" s="89"/>
      <c r="L148" s="89"/>
      <c r="M148" s="148"/>
      <c r="N148" s="89"/>
      <c r="O148" s="110"/>
      <c r="P148" s="203"/>
      <c r="Q148" s="203"/>
      <c r="R148" s="225"/>
      <c r="S148" s="224"/>
    </row>
    <row r="149" spans="1:19" ht="15.75" hidden="1" x14ac:dyDescent="0.25">
      <c r="A149" s="118"/>
      <c r="B149" s="50"/>
      <c r="C149" s="44"/>
      <c r="D149" s="46"/>
      <c r="E149" s="158"/>
      <c r="F149" s="158"/>
      <c r="G149" s="48"/>
      <c r="H149" s="48"/>
      <c r="I149" s="23"/>
      <c r="J149" s="89"/>
      <c r="K149" s="89"/>
      <c r="L149" s="89"/>
      <c r="M149" s="148"/>
      <c r="N149" s="89"/>
      <c r="O149" s="110"/>
      <c r="P149" s="203"/>
      <c r="Q149" s="203"/>
      <c r="R149" s="225"/>
      <c r="S149" s="224"/>
    </row>
    <row r="150" spans="1:19" ht="15.75" hidden="1" x14ac:dyDescent="0.25">
      <c r="A150" s="118"/>
      <c r="B150" s="50"/>
      <c r="C150" s="33"/>
      <c r="D150" s="36"/>
      <c r="E150" s="52"/>
      <c r="F150" s="52"/>
      <c r="G150" s="39"/>
      <c r="H150" s="39"/>
      <c r="I150" s="23"/>
      <c r="J150" s="89"/>
      <c r="K150" s="89"/>
      <c r="L150" s="89"/>
      <c r="M150" s="148"/>
      <c r="N150" s="89"/>
      <c r="O150" s="110"/>
      <c r="P150" s="203"/>
      <c r="Q150" s="203"/>
      <c r="R150" s="225"/>
      <c r="S150" s="224"/>
    </row>
    <row r="151" spans="1:19" ht="15.75" hidden="1" x14ac:dyDescent="0.25">
      <c r="A151" s="118"/>
      <c r="B151" s="50"/>
      <c r="C151" s="33"/>
      <c r="D151" s="36"/>
      <c r="E151" s="52"/>
      <c r="F151" s="52"/>
      <c r="G151" s="39"/>
      <c r="H151" s="39"/>
      <c r="I151" s="23"/>
      <c r="J151" s="89"/>
      <c r="K151" s="89"/>
      <c r="L151" s="89"/>
      <c r="M151" s="148"/>
      <c r="N151" s="89"/>
      <c r="O151" s="110"/>
      <c r="P151" s="203"/>
      <c r="Q151" s="203"/>
      <c r="R151" s="225"/>
      <c r="S151" s="224"/>
    </row>
    <row r="152" spans="1:19" ht="15.75" hidden="1" x14ac:dyDescent="0.25">
      <c r="A152" s="118"/>
      <c r="B152" s="50"/>
      <c r="C152" s="33"/>
      <c r="D152" s="36"/>
      <c r="E152" s="52"/>
      <c r="F152" s="52"/>
      <c r="G152" s="39"/>
      <c r="H152" s="39"/>
      <c r="I152" s="23"/>
      <c r="J152" s="89"/>
      <c r="K152" s="89"/>
      <c r="L152" s="89"/>
      <c r="M152" s="148"/>
      <c r="N152" s="89"/>
      <c r="O152" s="110"/>
      <c r="P152" s="203"/>
      <c r="Q152" s="203"/>
      <c r="R152" s="225"/>
      <c r="S152" s="224"/>
    </row>
    <row r="153" spans="1:19" ht="15.75" hidden="1" x14ac:dyDescent="0.25">
      <c r="A153" s="118"/>
      <c r="B153" s="50"/>
      <c r="C153" s="33"/>
      <c r="D153" s="36"/>
      <c r="E153" s="52"/>
      <c r="F153" s="52"/>
      <c r="G153" s="39"/>
      <c r="H153" s="39"/>
      <c r="I153" s="23"/>
      <c r="J153" s="89"/>
      <c r="K153" s="89"/>
      <c r="L153" s="89"/>
      <c r="M153" s="148"/>
      <c r="N153" s="89"/>
      <c r="O153" s="110"/>
      <c r="P153" s="203"/>
      <c r="Q153" s="203"/>
      <c r="R153" s="225"/>
      <c r="S153" s="224"/>
    </row>
    <row r="154" spans="1:19" ht="15.75" hidden="1" x14ac:dyDescent="0.25">
      <c r="A154" s="118"/>
      <c r="B154" s="50"/>
      <c r="C154" s="33"/>
      <c r="D154" s="36"/>
      <c r="E154" s="52"/>
      <c r="F154" s="52"/>
      <c r="G154" s="39"/>
      <c r="H154" s="39"/>
      <c r="I154" s="23"/>
      <c r="J154" s="89"/>
      <c r="K154" s="89"/>
      <c r="L154" s="89"/>
      <c r="M154" s="148"/>
      <c r="N154" s="89"/>
      <c r="O154" s="110"/>
      <c r="P154" s="203"/>
      <c r="Q154" s="203"/>
      <c r="R154" s="225"/>
      <c r="S154" s="224"/>
    </row>
    <row r="155" spans="1:19" ht="15.75" hidden="1" x14ac:dyDescent="0.25">
      <c r="A155" s="118"/>
      <c r="B155" s="50"/>
      <c r="C155" s="33"/>
      <c r="D155" s="36"/>
      <c r="E155" s="52"/>
      <c r="F155" s="52"/>
      <c r="G155" s="39"/>
      <c r="H155" s="39"/>
      <c r="I155" s="23"/>
      <c r="J155" s="89"/>
      <c r="K155" s="89"/>
      <c r="L155" s="89"/>
      <c r="M155" s="148"/>
      <c r="N155" s="89"/>
      <c r="O155" s="110"/>
      <c r="P155" s="203"/>
      <c r="Q155" s="203"/>
      <c r="R155" s="225"/>
      <c r="S155" s="224"/>
    </row>
    <row r="156" spans="1:19" ht="15.75" hidden="1" x14ac:dyDescent="0.25">
      <c r="A156" s="118"/>
      <c r="B156" s="50"/>
      <c r="C156" s="33"/>
      <c r="D156" s="36"/>
      <c r="E156" s="52"/>
      <c r="F156" s="52"/>
      <c r="G156" s="39"/>
      <c r="H156" s="39"/>
      <c r="I156" s="23"/>
      <c r="J156" s="89"/>
      <c r="K156" s="89"/>
      <c r="L156" s="89"/>
      <c r="M156" s="148"/>
      <c r="N156" s="89"/>
      <c r="O156" s="110"/>
      <c r="P156" s="203"/>
      <c r="Q156" s="203"/>
      <c r="R156" s="225"/>
      <c r="S156" s="224"/>
    </row>
    <row r="157" spans="1:19" ht="15.75" hidden="1" x14ac:dyDescent="0.25">
      <c r="A157" s="118"/>
      <c r="B157" s="50"/>
      <c r="C157" s="33"/>
      <c r="D157" s="36"/>
      <c r="E157" s="52"/>
      <c r="F157" s="52"/>
      <c r="G157" s="39"/>
      <c r="H157" s="39"/>
      <c r="I157" s="23"/>
      <c r="J157" s="89"/>
      <c r="K157" s="89"/>
      <c r="L157" s="89"/>
      <c r="M157" s="148"/>
      <c r="N157" s="89"/>
      <c r="O157" s="110"/>
      <c r="P157" s="203"/>
      <c r="Q157" s="203"/>
      <c r="R157" s="225"/>
      <c r="S157" s="224"/>
    </row>
    <row r="158" spans="1:19" ht="15.75" hidden="1" x14ac:dyDescent="0.25">
      <c r="A158" s="118"/>
      <c r="B158" s="50"/>
      <c r="C158" s="33"/>
      <c r="D158" s="36"/>
      <c r="E158" s="52"/>
      <c r="F158" s="52"/>
      <c r="G158" s="41"/>
      <c r="H158" s="39"/>
      <c r="I158" s="23"/>
      <c r="J158" s="89"/>
      <c r="K158" s="89"/>
      <c r="L158" s="89"/>
      <c r="M158" s="148"/>
      <c r="N158" s="89"/>
      <c r="O158" s="110"/>
      <c r="P158" s="203"/>
      <c r="Q158" s="203"/>
      <c r="R158" s="225"/>
      <c r="S158" s="224"/>
    </row>
    <row r="159" spans="1:19" ht="15.75" hidden="1" x14ac:dyDescent="0.25">
      <c r="A159" s="118"/>
      <c r="B159" s="50"/>
      <c r="C159" s="33"/>
      <c r="D159" s="36"/>
      <c r="E159" s="52"/>
      <c r="F159" s="52"/>
      <c r="G159" s="41"/>
      <c r="H159" s="39"/>
      <c r="I159" s="23"/>
      <c r="J159" s="89"/>
      <c r="K159" s="89"/>
      <c r="L159" s="89"/>
      <c r="M159" s="148"/>
      <c r="N159" s="89"/>
      <c r="O159" s="110"/>
      <c r="P159" s="203"/>
      <c r="Q159" s="203"/>
      <c r="R159" s="225"/>
      <c r="S159" s="224"/>
    </row>
    <row r="160" spans="1:19" ht="15.75" hidden="1" x14ac:dyDescent="0.25">
      <c r="A160" s="118"/>
      <c r="B160" s="50"/>
      <c r="C160" s="33"/>
      <c r="D160" s="36"/>
      <c r="E160" s="52"/>
      <c r="F160" s="52"/>
      <c r="G160" s="39"/>
      <c r="H160" s="39"/>
      <c r="I160" s="148"/>
      <c r="J160" s="89"/>
      <c r="K160" s="89"/>
      <c r="L160" s="89"/>
      <c r="M160" s="148"/>
      <c r="N160" s="89"/>
      <c r="O160" s="110"/>
      <c r="P160" s="203"/>
      <c r="Q160" s="203"/>
      <c r="R160" s="225"/>
      <c r="S160" s="224"/>
    </row>
    <row r="161" spans="1:20" ht="15.75" hidden="1" x14ac:dyDescent="0.25">
      <c r="A161" s="118"/>
      <c r="B161" s="50"/>
      <c r="C161" s="33"/>
      <c r="D161" s="36"/>
      <c r="E161" s="52"/>
      <c r="F161" s="52"/>
      <c r="G161" s="41"/>
      <c r="H161" s="39"/>
      <c r="I161" s="23"/>
      <c r="J161" s="89"/>
      <c r="K161" s="89"/>
      <c r="L161" s="89"/>
      <c r="M161" s="148"/>
      <c r="N161" s="89"/>
      <c r="O161" s="110"/>
      <c r="P161" s="203"/>
      <c r="Q161" s="203"/>
      <c r="R161" s="225"/>
      <c r="S161" s="224"/>
    </row>
    <row r="162" spans="1:20" ht="6" customHeight="1" x14ac:dyDescent="0.25">
      <c r="A162" s="119"/>
      <c r="B162" s="51"/>
      <c r="C162" s="35"/>
      <c r="D162" s="37"/>
      <c r="E162" s="53"/>
      <c r="F162" s="53"/>
      <c r="G162" s="54"/>
      <c r="H162" s="39"/>
      <c r="I162" s="23"/>
      <c r="J162" s="89"/>
      <c r="K162" s="89"/>
      <c r="L162" s="89"/>
      <c r="M162" s="148"/>
      <c r="N162" s="89"/>
      <c r="O162" s="110"/>
      <c r="P162" s="203"/>
      <c r="Q162" s="203"/>
      <c r="R162" s="225"/>
      <c r="S162" s="224"/>
    </row>
    <row r="163" spans="1:20" ht="16.5" thickBot="1" x14ac:dyDescent="0.3">
      <c r="A163" s="161"/>
      <c r="B163" s="162"/>
      <c r="C163" s="152" t="s">
        <v>209</v>
      </c>
      <c r="D163" s="153"/>
      <c r="E163" s="140">
        <f>SUM(E89:E162)</f>
        <v>31303544.769999996</v>
      </c>
      <c r="F163" s="140">
        <f>SUM(F88:F162)</f>
        <v>13766297.270000001</v>
      </c>
      <c r="G163" s="140">
        <f>SUM(G88:G162)</f>
        <v>11188131.084999999</v>
      </c>
      <c r="H163" s="242">
        <f>SUM(H88:H162)</f>
        <v>24954428.354999993</v>
      </c>
      <c r="I163" s="89">
        <f>SUM(I89:I162)</f>
        <v>9030199.7300000004</v>
      </c>
      <c r="J163" s="89">
        <f t="shared" ref="J163:J190" si="19">I163-F163</f>
        <v>-4736097.540000001</v>
      </c>
      <c r="K163" s="89">
        <f t="shared" si="18"/>
        <v>-15924228.624999993</v>
      </c>
      <c r="L163" s="89">
        <f>E163-23789208.42</f>
        <v>7514336.349999994</v>
      </c>
      <c r="M163" s="89"/>
      <c r="N163" s="89">
        <f t="shared" si="16"/>
        <v>24954428.354999993</v>
      </c>
      <c r="O163" s="238">
        <f>SUM(O88:O162)</f>
        <v>24873690.119999997</v>
      </c>
      <c r="P163" s="208">
        <f>SUM(P89:P161)</f>
        <v>26436363.494999997</v>
      </c>
      <c r="Q163" s="203"/>
      <c r="R163" s="225"/>
      <c r="S163" s="224"/>
    </row>
    <row r="164" spans="1:20" ht="15.75" customHeight="1" x14ac:dyDescent="0.25">
      <c r="A164" s="134"/>
      <c r="B164" s="135" t="s">
        <v>107</v>
      </c>
      <c r="C164" s="149" t="s">
        <v>283</v>
      </c>
      <c r="D164" s="136"/>
      <c r="E164" s="137"/>
      <c r="F164" s="137"/>
      <c r="G164" s="137"/>
      <c r="H164" s="137"/>
      <c r="I164" s="23"/>
      <c r="J164" s="89">
        <f t="shared" si="19"/>
        <v>0</v>
      </c>
      <c r="K164" s="89">
        <f t="shared" si="18"/>
        <v>0</v>
      </c>
      <c r="L164" s="23"/>
      <c r="M164" s="89"/>
      <c r="N164" s="89">
        <f t="shared" si="16"/>
        <v>0</v>
      </c>
      <c r="O164" s="110"/>
      <c r="P164" s="203"/>
      <c r="Q164" s="203"/>
      <c r="R164" s="225"/>
      <c r="S164" s="224"/>
    </row>
    <row r="165" spans="1:20" ht="13.5" customHeight="1" x14ac:dyDescent="0.25">
      <c r="A165" s="118"/>
      <c r="B165" s="50"/>
      <c r="C165" s="33" t="s">
        <v>636</v>
      </c>
      <c r="D165" s="55" t="s">
        <v>637</v>
      </c>
      <c r="E165" s="52"/>
      <c r="F165" s="52"/>
      <c r="G165" s="78">
        <f t="shared" ref="G165:G189" si="20">P165-F165</f>
        <v>150000</v>
      </c>
      <c r="H165" s="39">
        <f>SUM(F165:G165)</f>
        <v>150000</v>
      </c>
      <c r="I165" s="23">
        <v>42970</v>
      </c>
      <c r="J165" s="89">
        <f t="shared" si="19"/>
        <v>42970</v>
      </c>
      <c r="K165" s="89">
        <f t="shared" si="18"/>
        <v>-107030</v>
      </c>
      <c r="L165" s="89">
        <f t="shared" ref="L165:L190" si="21">M165-F165</f>
        <v>1000000</v>
      </c>
      <c r="M165" s="23">
        <f>400000+600000</f>
        <v>1000000</v>
      </c>
      <c r="N165" s="89">
        <f t="shared" si="16"/>
        <v>-850000</v>
      </c>
      <c r="O165" s="227">
        <f t="shared" ref="O165:O190" si="22">SUM(R165:AC165)</f>
        <v>0</v>
      </c>
      <c r="P165" s="203">
        <v>150000</v>
      </c>
      <c r="Q165" s="203"/>
      <c r="R165" s="225"/>
      <c r="S165" s="224"/>
    </row>
    <row r="166" spans="1:20" ht="15.75" hidden="1" x14ac:dyDescent="0.25">
      <c r="A166" s="118"/>
      <c r="B166" s="50"/>
      <c r="C166" s="33" t="s">
        <v>212</v>
      </c>
      <c r="D166" s="55"/>
      <c r="E166" s="52"/>
      <c r="F166" s="52"/>
      <c r="G166" s="78">
        <f t="shared" si="20"/>
        <v>0</v>
      </c>
      <c r="H166" s="39"/>
      <c r="I166" s="23"/>
      <c r="J166" s="89"/>
      <c r="K166" s="89"/>
      <c r="L166" s="89">
        <f t="shared" si="21"/>
        <v>0</v>
      </c>
      <c r="M166" s="23"/>
      <c r="N166" s="89">
        <f t="shared" si="16"/>
        <v>0</v>
      </c>
      <c r="O166" s="227">
        <f t="shared" si="22"/>
        <v>0</v>
      </c>
      <c r="P166" s="203"/>
      <c r="Q166" s="203"/>
      <c r="R166" s="225"/>
      <c r="S166" s="224"/>
    </row>
    <row r="167" spans="1:20" ht="15.75" hidden="1" x14ac:dyDescent="0.25">
      <c r="A167" s="118"/>
      <c r="B167" s="50"/>
      <c r="C167" s="33" t="s">
        <v>375</v>
      </c>
      <c r="D167" s="55"/>
      <c r="E167" s="52"/>
      <c r="F167" s="52"/>
      <c r="G167" s="78">
        <f t="shared" si="20"/>
        <v>0</v>
      </c>
      <c r="H167" s="39">
        <f t="shared" ref="H167:H190" si="23">SUM(F167:G167)</f>
        <v>0</v>
      </c>
      <c r="I167" s="23"/>
      <c r="J167" s="89">
        <f t="shared" si="19"/>
        <v>0</v>
      </c>
      <c r="K167" s="89">
        <f t="shared" si="18"/>
        <v>0</v>
      </c>
      <c r="L167" s="89">
        <f t="shared" si="21"/>
        <v>0</v>
      </c>
      <c r="M167" s="23"/>
      <c r="N167" s="89">
        <f t="shared" si="16"/>
        <v>0</v>
      </c>
      <c r="O167" s="227">
        <f t="shared" si="22"/>
        <v>0</v>
      </c>
      <c r="P167" s="203"/>
      <c r="Q167" s="203"/>
      <c r="R167" s="225"/>
      <c r="S167" s="224"/>
    </row>
    <row r="168" spans="1:20" ht="15.75" x14ac:dyDescent="0.25">
      <c r="A168" s="118"/>
      <c r="B168" s="50"/>
      <c r="C168" s="33" t="s">
        <v>629</v>
      </c>
      <c r="D168" s="55" t="s">
        <v>628</v>
      </c>
      <c r="E168" s="52"/>
      <c r="F168" s="52">
        <v>400000</v>
      </c>
      <c r="G168" s="78">
        <f t="shared" si="20"/>
        <v>0</v>
      </c>
      <c r="H168" s="39">
        <f>SUM(F168:G168)</f>
        <v>400000</v>
      </c>
      <c r="I168" s="23"/>
      <c r="J168" s="89"/>
      <c r="K168" s="89"/>
      <c r="L168" s="89">
        <f t="shared" si="21"/>
        <v>-400000</v>
      </c>
      <c r="M168" s="23"/>
      <c r="N168" s="89">
        <f t="shared" si="16"/>
        <v>400000</v>
      </c>
      <c r="O168" s="227">
        <f t="shared" si="22"/>
        <v>0</v>
      </c>
      <c r="P168" s="203">
        <v>400000</v>
      </c>
      <c r="Q168" s="203"/>
      <c r="R168" s="225"/>
      <c r="S168" s="224"/>
    </row>
    <row r="169" spans="1:20" ht="13.5" customHeight="1" x14ac:dyDescent="0.25">
      <c r="A169" s="118"/>
      <c r="B169" s="50"/>
      <c r="C169" s="33" t="s">
        <v>622</v>
      </c>
      <c r="D169" s="55" t="s">
        <v>623</v>
      </c>
      <c r="E169" s="148"/>
      <c r="F169" s="52">
        <v>52184.55</v>
      </c>
      <c r="G169" s="78">
        <v>0</v>
      </c>
      <c r="H169" s="39">
        <f t="shared" si="23"/>
        <v>52184.55</v>
      </c>
      <c r="I169" s="23"/>
      <c r="J169" s="89"/>
      <c r="K169" s="89"/>
      <c r="L169" s="89">
        <f t="shared" si="21"/>
        <v>-52184.55</v>
      </c>
      <c r="M169" s="23"/>
      <c r="N169" s="89">
        <f t="shared" si="16"/>
        <v>52184.55</v>
      </c>
      <c r="O169" s="227">
        <f t="shared" si="22"/>
        <v>1000000</v>
      </c>
      <c r="P169" s="203"/>
      <c r="Q169" s="203"/>
      <c r="R169" s="225">
        <v>1000000</v>
      </c>
      <c r="S169" s="224"/>
    </row>
    <row r="170" spans="1:20" ht="13.5" customHeight="1" x14ac:dyDescent="0.25">
      <c r="A170" s="118"/>
      <c r="B170" s="50"/>
      <c r="C170" s="33" t="s">
        <v>621</v>
      </c>
      <c r="D170" s="55" t="s">
        <v>620</v>
      </c>
      <c r="E170" s="52"/>
      <c r="F170" s="52">
        <f>76906.9+319000+105005</f>
        <v>500911.9</v>
      </c>
      <c r="G170" s="78">
        <f t="shared" si="20"/>
        <v>999999.99999999988</v>
      </c>
      <c r="H170" s="39">
        <f t="shared" si="23"/>
        <v>1500911.9</v>
      </c>
      <c r="I170" s="23">
        <v>50000</v>
      </c>
      <c r="J170" s="89">
        <f t="shared" si="19"/>
        <v>-450911.9</v>
      </c>
      <c r="K170" s="89">
        <f t="shared" si="18"/>
        <v>-1450911.9</v>
      </c>
      <c r="L170" s="89">
        <f t="shared" si="21"/>
        <v>-400911.9</v>
      </c>
      <c r="M170" s="23">
        <v>100000</v>
      </c>
      <c r="N170" s="89">
        <f t="shared" si="16"/>
        <v>1400911.9</v>
      </c>
      <c r="O170" s="227">
        <f t="shared" si="22"/>
        <v>40000</v>
      </c>
      <c r="P170" s="203">
        <f>500911.9+1000000</f>
        <v>1500911.9</v>
      </c>
      <c r="Q170" s="207">
        <f>1000000-500911.9-48710-13580</f>
        <v>436798.1</v>
      </c>
      <c r="R170" s="225">
        <v>40000</v>
      </c>
      <c r="S170" s="224"/>
    </row>
    <row r="171" spans="1:20" ht="12.75" customHeight="1" x14ac:dyDescent="0.25">
      <c r="A171" s="118"/>
      <c r="B171" s="50"/>
      <c r="C171" s="33" t="s">
        <v>633</v>
      </c>
      <c r="D171" s="55" t="s">
        <v>634</v>
      </c>
      <c r="E171" s="52"/>
      <c r="F171" s="52"/>
      <c r="G171" s="78">
        <f t="shared" si="20"/>
        <v>800000</v>
      </c>
      <c r="H171" s="39">
        <f t="shared" si="23"/>
        <v>800000</v>
      </c>
      <c r="I171" s="23"/>
      <c r="J171" s="89"/>
      <c r="K171" s="89"/>
      <c r="L171" s="89"/>
      <c r="M171" s="23"/>
      <c r="N171" s="89"/>
      <c r="O171" s="227">
        <f t="shared" si="22"/>
        <v>750000</v>
      </c>
      <c r="P171" s="203">
        <v>800000</v>
      </c>
      <c r="Q171" s="203"/>
      <c r="R171" s="225">
        <v>500000</v>
      </c>
      <c r="S171" s="224">
        <v>150000</v>
      </c>
      <c r="T171">
        <v>100000</v>
      </c>
    </row>
    <row r="172" spans="1:20" ht="15.75" x14ac:dyDescent="0.25">
      <c r="A172" s="118"/>
      <c r="B172" s="50"/>
      <c r="C172" s="33" t="s">
        <v>639</v>
      </c>
      <c r="D172" s="55" t="s">
        <v>638</v>
      </c>
      <c r="E172" s="52"/>
      <c r="F172" s="52"/>
      <c r="G172" s="78">
        <f t="shared" si="20"/>
        <v>180000</v>
      </c>
      <c r="H172" s="39">
        <f t="shared" si="23"/>
        <v>180000</v>
      </c>
      <c r="I172" s="23"/>
      <c r="J172" s="89"/>
      <c r="K172" s="89"/>
      <c r="L172" s="89"/>
      <c r="M172" s="23"/>
      <c r="N172" s="89"/>
      <c r="O172" s="227">
        <f t="shared" si="22"/>
        <v>910000</v>
      </c>
      <c r="P172" s="203">
        <v>180000</v>
      </c>
      <c r="Q172" s="203"/>
      <c r="R172" s="225">
        <v>160000</v>
      </c>
      <c r="S172" s="224">
        <v>750000</v>
      </c>
    </row>
    <row r="173" spans="1:20" ht="15.75" x14ac:dyDescent="0.25">
      <c r="A173" s="118"/>
      <c r="B173" s="50"/>
      <c r="C173" s="33" t="s">
        <v>668</v>
      </c>
      <c r="D173" s="55" t="s">
        <v>667</v>
      </c>
      <c r="E173" s="52"/>
      <c r="F173" s="52"/>
      <c r="G173" s="78"/>
      <c r="H173" s="39"/>
      <c r="I173" s="23"/>
      <c r="J173" s="89"/>
      <c r="K173" s="89"/>
      <c r="L173" s="89"/>
      <c r="M173" s="23"/>
      <c r="N173" s="89"/>
      <c r="O173" s="227">
        <f t="shared" si="22"/>
        <v>1675000</v>
      </c>
      <c r="P173" s="203"/>
      <c r="Q173" s="203"/>
      <c r="R173" s="225">
        <v>1600000</v>
      </c>
      <c r="S173" s="224">
        <v>75000</v>
      </c>
    </row>
    <row r="174" spans="1:20" ht="15.75" x14ac:dyDescent="0.25">
      <c r="A174" s="118"/>
      <c r="B174" s="50"/>
      <c r="C174" s="33" t="s">
        <v>213</v>
      </c>
      <c r="D174" s="55" t="s">
        <v>617</v>
      </c>
      <c r="E174" s="52"/>
      <c r="F174" s="52">
        <f>5000+49995+48700</f>
        <v>103695</v>
      </c>
      <c r="G174" s="78">
        <f t="shared" si="20"/>
        <v>108688.10000000009</v>
      </c>
      <c r="H174" s="39">
        <f t="shared" si="23"/>
        <v>212383.10000000009</v>
      </c>
      <c r="I174" s="23">
        <f>103296+112667.05</f>
        <v>215963.05</v>
      </c>
      <c r="J174" s="89">
        <f t="shared" si="19"/>
        <v>112268.04999999999</v>
      </c>
      <c r="K174" s="89">
        <f t="shared" si="18"/>
        <v>3579.9499999998952</v>
      </c>
      <c r="L174" s="89">
        <f t="shared" si="21"/>
        <v>296305</v>
      </c>
      <c r="M174" s="23">
        <v>400000</v>
      </c>
      <c r="N174" s="89">
        <f t="shared" si="16"/>
        <v>-187616.89999999991</v>
      </c>
      <c r="O174" s="227">
        <f t="shared" si="22"/>
        <v>0</v>
      </c>
      <c r="P174" s="203">
        <f>1136798.1+150000-74415-1000000</f>
        <v>212383.10000000009</v>
      </c>
      <c r="Q174" s="203">
        <v>1136798.1000000001</v>
      </c>
      <c r="R174" s="225"/>
      <c r="S174" s="224"/>
    </row>
    <row r="175" spans="1:20" ht="15.75" x14ac:dyDescent="0.25">
      <c r="A175" s="118"/>
      <c r="B175" s="50"/>
      <c r="C175" s="33" t="s">
        <v>615</v>
      </c>
      <c r="D175" s="147" t="s">
        <v>616</v>
      </c>
      <c r="E175" s="52"/>
      <c r="F175" s="148">
        <v>48710</v>
      </c>
      <c r="G175" s="78">
        <f t="shared" si="20"/>
        <v>0</v>
      </c>
      <c r="H175" s="101">
        <f t="shared" si="23"/>
        <v>48710</v>
      </c>
      <c r="I175" s="23">
        <v>433036.99</v>
      </c>
      <c r="J175" s="89">
        <f t="shared" si="19"/>
        <v>384326.99</v>
      </c>
      <c r="K175" s="89">
        <f t="shared" si="18"/>
        <v>384326.99</v>
      </c>
      <c r="L175" s="89">
        <f t="shared" si="21"/>
        <v>351290</v>
      </c>
      <c r="M175" s="23">
        <v>400000</v>
      </c>
      <c r="N175" s="89">
        <f t="shared" si="16"/>
        <v>-351290</v>
      </c>
      <c r="O175" s="227">
        <f t="shared" si="22"/>
        <v>0</v>
      </c>
      <c r="P175" s="203">
        <v>48710</v>
      </c>
      <c r="Q175" s="207">
        <f>P174-F175</f>
        <v>163673.10000000009</v>
      </c>
      <c r="R175" s="225"/>
      <c r="S175" s="224"/>
    </row>
    <row r="176" spans="1:20" ht="15.75" hidden="1" x14ac:dyDescent="0.25">
      <c r="A176" s="118"/>
      <c r="B176" s="50"/>
      <c r="C176" s="33" t="s">
        <v>278</v>
      </c>
      <c r="D176" s="147"/>
      <c r="E176" s="52"/>
      <c r="F176" s="148"/>
      <c r="G176" s="78">
        <f t="shared" si="20"/>
        <v>0</v>
      </c>
      <c r="H176" s="101">
        <f t="shared" si="23"/>
        <v>0</v>
      </c>
      <c r="I176" s="23">
        <v>120000</v>
      </c>
      <c r="J176" s="89"/>
      <c r="K176" s="89">
        <f t="shared" si="18"/>
        <v>120000</v>
      </c>
      <c r="L176" s="89">
        <f t="shared" si="21"/>
        <v>0</v>
      </c>
      <c r="M176" s="23"/>
      <c r="N176" s="89">
        <f t="shared" si="16"/>
        <v>0</v>
      </c>
      <c r="O176" s="227">
        <f t="shared" si="22"/>
        <v>0</v>
      </c>
      <c r="P176" s="203"/>
      <c r="Q176" s="203"/>
      <c r="R176" s="225"/>
      <c r="S176" s="224"/>
    </row>
    <row r="177" spans="1:19" ht="12.75" customHeight="1" x14ac:dyDescent="0.25">
      <c r="A177" s="118"/>
      <c r="B177" s="50"/>
      <c r="C177" s="33" t="s">
        <v>214</v>
      </c>
      <c r="D177" s="55" t="s">
        <v>618</v>
      </c>
      <c r="E177" s="52"/>
      <c r="F177" s="52">
        <f>13580</f>
        <v>13580</v>
      </c>
      <c r="G177" s="78">
        <f t="shared" si="20"/>
        <v>0</v>
      </c>
      <c r="H177" s="39">
        <f t="shared" si="23"/>
        <v>13580</v>
      </c>
      <c r="I177" s="23">
        <v>6350</v>
      </c>
      <c r="J177" s="89">
        <f t="shared" si="19"/>
        <v>-7230</v>
      </c>
      <c r="K177" s="89">
        <f t="shared" si="18"/>
        <v>-7230</v>
      </c>
      <c r="L177" s="89">
        <f t="shared" si="21"/>
        <v>86420</v>
      </c>
      <c r="M177" s="23">
        <v>100000</v>
      </c>
      <c r="N177" s="89">
        <f t="shared" si="16"/>
        <v>-86420</v>
      </c>
      <c r="O177" s="227">
        <f t="shared" si="22"/>
        <v>1930000</v>
      </c>
      <c r="P177" s="203">
        <v>13580</v>
      </c>
      <c r="Q177" s="203"/>
      <c r="R177" s="225">
        <v>1900000</v>
      </c>
      <c r="S177" s="224">
        <v>30000</v>
      </c>
    </row>
    <row r="178" spans="1:19" ht="15.75" hidden="1" x14ac:dyDescent="0.25">
      <c r="A178" s="118"/>
      <c r="B178" s="50"/>
      <c r="C178" s="33" t="s">
        <v>215</v>
      </c>
      <c r="D178" s="55"/>
      <c r="E178" s="52"/>
      <c r="F178" s="52"/>
      <c r="G178" s="78">
        <f t="shared" si="20"/>
        <v>0</v>
      </c>
      <c r="H178" s="39">
        <f t="shared" si="23"/>
        <v>0</v>
      </c>
      <c r="I178" s="23"/>
      <c r="J178" s="89">
        <f t="shared" si="19"/>
        <v>0</v>
      </c>
      <c r="K178" s="89">
        <f t="shared" si="18"/>
        <v>0</v>
      </c>
      <c r="L178" s="89">
        <f t="shared" si="21"/>
        <v>1000000</v>
      </c>
      <c r="M178" s="23">
        <v>1000000</v>
      </c>
      <c r="N178" s="89">
        <f t="shared" si="16"/>
        <v>-1000000</v>
      </c>
      <c r="O178" s="227">
        <f t="shared" si="22"/>
        <v>0</v>
      </c>
      <c r="P178" s="203"/>
      <c r="Q178" s="203"/>
      <c r="R178" s="225"/>
      <c r="S178" s="224"/>
    </row>
    <row r="179" spans="1:19" ht="12.75" customHeight="1" x14ac:dyDescent="0.25">
      <c r="A179" s="118"/>
      <c r="B179" s="50"/>
      <c r="C179" s="33" t="s">
        <v>627</v>
      </c>
      <c r="D179" s="55" t="s">
        <v>626</v>
      </c>
      <c r="E179" s="52"/>
      <c r="F179" s="52">
        <f>122557.09+3052830.33+895157+248954.33</f>
        <v>4319498.75</v>
      </c>
      <c r="G179" s="78">
        <f>P179-F179</f>
        <v>4376050.7100000009</v>
      </c>
      <c r="H179" s="39">
        <f t="shared" si="23"/>
        <v>8695549.4600000009</v>
      </c>
      <c r="I179" s="23"/>
      <c r="J179" s="89"/>
      <c r="K179" s="89"/>
      <c r="L179" s="89">
        <f t="shared" si="21"/>
        <v>-4319498.75</v>
      </c>
      <c r="M179" s="23"/>
      <c r="N179" s="89">
        <f t="shared" si="16"/>
        <v>8695549.4600000009</v>
      </c>
      <c r="O179" s="227">
        <f t="shared" si="22"/>
        <v>2000000</v>
      </c>
      <c r="P179" s="203">
        <f>150000+250000+250000+250000+250000+250000+100000+250000+1810000+P9</f>
        <v>8695549.4600000009</v>
      </c>
      <c r="Q179" s="203"/>
      <c r="R179" s="225">
        <v>1000000</v>
      </c>
      <c r="S179" s="230">
        <v>1000000</v>
      </c>
    </row>
    <row r="180" spans="1:19" ht="13.5" customHeight="1" x14ac:dyDescent="0.25">
      <c r="A180" s="118"/>
      <c r="B180" s="50"/>
      <c r="C180" s="33" t="s">
        <v>625</v>
      </c>
      <c r="D180" s="55" t="s">
        <v>624</v>
      </c>
      <c r="E180" s="52"/>
      <c r="F180" s="52">
        <v>1243366.3799999999</v>
      </c>
      <c r="G180" s="78">
        <f t="shared" si="20"/>
        <v>156633.62000000011</v>
      </c>
      <c r="H180" s="39">
        <f t="shared" si="23"/>
        <v>1400000</v>
      </c>
      <c r="I180" s="23">
        <v>40000</v>
      </c>
      <c r="J180" s="89"/>
      <c r="K180" s="89">
        <f t="shared" si="18"/>
        <v>-1360000</v>
      </c>
      <c r="L180" s="89">
        <f t="shared" si="21"/>
        <v>-1243366.3799999999</v>
      </c>
      <c r="M180" s="23"/>
      <c r="N180" s="89">
        <f t="shared" si="16"/>
        <v>1400000</v>
      </c>
      <c r="O180" s="227">
        <f t="shared" si="22"/>
        <v>3000000</v>
      </c>
      <c r="P180" s="203">
        <f>250000+150000+250000+250000+250000+100000+150000</f>
        <v>1400000</v>
      </c>
      <c r="Q180" s="203"/>
      <c r="R180" s="225">
        <v>3000000</v>
      </c>
      <c r="S180" s="224"/>
    </row>
    <row r="181" spans="1:19" ht="13.5" customHeight="1" x14ac:dyDescent="0.25">
      <c r="A181" s="118"/>
      <c r="B181" s="50"/>
      <c r="C181" s="33" t="s">
        <v>276</v>
      </c>
      <c r="D181" s="55" t="s">
        <v>619</v>
      </c>
      <c r="E181" s="52"/>
      <c r="F181" s="52">
        <f>65165+9250</f>
        <v>74415</v>
      </c>
      <c r="G181" s="78">
        <f t="shared" si="20"/>
        <v>0</v>
      </c>
      <c r="H181" s="39">
        <f t="shared" si="23"/>
        <v>74415</v>
      </c>
      <c r="I181" s="23">
        <f>379649.96+15000+500000</f>
        <v>894649.96</v>
      </c>
      <c r="J181" s="89">
        <f t="shared" si="19"/>
        <v>820234.96</v>
      </c>
      <c r="K181" s="89">
        <f t="shared" si="18"/>
        <v>820234.96</v>
      </c>
      <c r="L181" s="89">
        <f t="shared" si="21"/>
        <v>36703.050000000003</v>
      </c>
      <c r="M181" s="23">
        <v>111118.05</v>
      </c>
      <c r="N181" s="89">
        <f t="shared" si="16"/>
        <v>-36703.050000000003</v>
      </c>
      <c r="O181" s="227">
        <f t="shared" si="22"/>
        <v>0</v>
      </c>
      <c r="P181" s="203">
        <v>74415</v>
      </c>
      <c r="Q181" s="203"/>
      <c r="R181" s="225"/>
      <c r="S181" s="224"/>
    </row>
    <row r="182" spans="1:19" ht="15.75" hidden="1" x14ac:dyDescent="0.25">
      <c r="A182" s="118"/>
      <c r="B182" s="50"/>
      <c r="C182" s="33" t="s">
        <v>216</v>
      </c>
      <c r="D182" s="55"/>
      <c r="E182" s="52"/>
      <c r="F182" s="52"/>
      <c r="G182" s="78">
        <f t="shared" si="20"/>
        <v>0</v>
      </c>
      <c r="H182" s="39">
        <f t="shared" si="23"/>
        <v>0</v>
      </c>
      <c r="I182" s="23">
        <v>930000</v>
      </c>
      <c r="J182" s="89">
        <f t="shared" si="19"/>
        <v>930000</v>
      </c>
      <c r="K182" s="89">
        <f t="shared" si="18"/>
        <v>930000</v>
      </c>
      <c r="L182" s="89">
        <f t="shared" si="21"/>
        <v>1351320.05</v>
      </c>
      <c r="M182" s="23">
        <v>1351320.05</v>
      </c>
      <c r="N182" s="89">
        <f t="shared" si="16"/>
        <v>-1351320.05</v>
      </c>
      <c r="O182" s="227">
        <f t="shared" si="22"/>
        <v>0</v>
      </c>
      <c r="P182" s="203"/>
      <c r="Q182" s="203"/>
      <c r="R182" s="225"/>
      <c r="S182" s="224"/>
    </row>
    <row r="183" spans="1:19" ht="15.75" hidden="1" x14ac:dyDescent="0.25">
      <c r="A183" s="118"/>
      <c r="B183" s="50"/>
      <c r="C183" s="33" t="s">
        <v>217</v>
      </c>
      <c r="D183" s="55"/>
      <c r="E183" s="52"/>
      <c r="F183" s="52"/>
      <c r="G183" s="78">
        <f t="shared" si="20"/>
        <v>0</v>
      </c>
      <c r="H183" s="39">
        <f t="shared" si="23"/>
        <v>0</v>
      </c>
      <c r="I183" s="23">
        <f>2806298.56+1446317.11+2000000+415000+1276812.09+200000+200000</f>
        <v>8344427.7599999998</v>
      </c>
      <c r="J183" s="89">
        <f t="shared" si="19"/>
        <v>8344427.7599999998</v>
      </c>
      <c r="K183" s="89">
        <f t="shared" si="18"/>
        <v>8344427.7599999998</v>
      </c>
      <c r="L183" s="89">
        <f t="shared" si="21"/>
        <v>0</v>
      </c>
      <c r="M183" s="23"/>
      <c r="N183" s="89">
        <f t="shared" si="16"/>
        <v>0</v>
      </c>
      <c r="O183" s="227">
        <f t="shared" si="22"/>
        <v>0</v>
      </c>
      <c r="P183" s="203"/>
      <c r="Q183" s="203"/>
      <c r="R183" s="225"/>
      <c r="S183" s="224"/>
    </row>
    <row r="184" spans="1:19" ht="15.75" hidden="1" x14ac:dyDescent="0.25">
      <c r="A184" s="118"/>
      <c r="B184" s="50"/>
      <c r="C184" s="33" t="s">
        <v>218</v>
      </c>
      <c r="D184" s="55"/>
      <c r="E184" s="52"/>
      <c r="F184" s="52"/>
      <c r="G184" s="78">
        <f t="shared" si="20"/>
        <v>0</v>
      </c>
      <c r="H184" s="39">
        <f t="shared" si="23"/>
        <v>0</v>
      </c>
      <c r="I184" s="23">
        <f>455000+79082+200000</f>
        <v>734082</v>
      </c>
      <c r="J184" s="89">
        <f t="shared" si="19"/>
        <v>734082</v>
      </c>
      <c r="K184" s="89">
        <f t="shared" si="18"/>
        <v>734082</v>
      </c>
      <c r="L184" s="89">
        <f t="shared" si="21"/>
        <v>0</v>
      </c>
      <c r="M184" s="23"/>
      <c r="N184" s="89">
        <f t="shared" si="16"/>
        <v>0</v>
      </c>
      <c r="O184" s="227">
        <f t="shared" si="22"/>
        <v>0</v>
      </c>
      <c r="P184" s="203"/>
      <c r="Q184" s="203"/>
      <c r="R184" s="225"/>
      <c r="S184" s="224"/>
    </row>
    <row r="185" spans="1:19" ht="15.75" hidden="1" x14ac:dyDescent="0.25">
      <c r="A185" s="118"/>
      <c r="B185" s="50"/>
      <c r="C185" s="98" t="s">
        <v>366</v>
      </c>
      <c r="D185" s="55"/>
      <c r="E185" s="52"/>
      <c r="F185" s="52"/>
      <c r="G185" s="78">
        <f t="shared" si="20"/>
        <v>0</v>
      </c>
      <c r="H185" s="39">
        <f t="shared" si="23"/>
        <v>0</v>
      </c>
      <c r="I185" s="23">
        <f>150000</f>
        <v>150000</v>
      </c>
      <c r="J185" s="89">
        <f t="shared" si="19"/>
        <v>150000</v>
      </c>
      <c r="K185" s="89">
        <f t="shared" si="18"/>
        <v>150000</v>
      </c>
      <c r="L185" s="89">
        <f t="shared" si="21"/>
        <v>0</v>
      </c>
      <c r="M185" s="23"/>
      <c r="N185" s="89">
        <f t="shared" si="16"/>
        <v>0</v>
      </c>
      <c r="O185" s="227">
        <f t="shared" si="22"/>
        <v>0</v>
      </c>
      <c r="P185" s="203"/>
      <c r="Q185" s="203"/>
      <c r="R185" s="225"/>
      <c r="S185" s="224"/>
    </row>
    <row r="186" spans="1:19" ht="15.75" hidden="1" x14ac:dyDescent="0.25">
      <c r="A186" s="118"/>
      <c r="B186" s="50"/>
      <c r="C186" s="33" t="s">
        <v>219</v>
      </c>
      <c r="D186" s="55"/>
      <c r="E186" s="52"/>
      <c r="F186" s="52"/>
      <c r="G186" s="78">
        <f t="shared" si="20"/>
        <v>0</v>
      </c>
      <c r="H186" s="39">
        <f t="shared" si="23"/>
        <v>0</v>
      </c>
      <c r="I186" s="23">
        <f>70000+200000</f>
        <v>270000</v>
      </c>
      <c r="J186" s="89">
        <f t="shared" si="19"/>
        <v>270000</v>
      </c>
      <c r="K186" s="89">
        <f t="shared" si="18"/>
        <v>270000</v>
      </c>
      <c r="L186" s="89">
        <f t="shared" si="21"/>
        <v>0</v>
      </c>
      <c r="M186" s="23"/>
      <c r="N186" s="89">
        <f t="shared" si="16"/>
        <v>0</v>
      </c>
      <c r="O186" s="227">
        <f t="shared" si="22"/>
        <v>0</v>
      </c>
      <c r="P186" s="203"/>
      <c r="Q186" s="203"/>
      <c r="R186" s="225"/>
      <c r="S186" s="224"/>
    </row>
    <row r="187" spans="1:19" ht="15.75" hidden="1" x14ac:dyDescent="0.25">
      <c r="A187" s="118"/>
      <c r="B187" s="50"/>
      <c r="C187" s="33" t="s">
        <v>220</v>
      </c>
      <c r="D187" s="55"/>
      <c r="E187" s="52"/>
      <c r="F187" s="52"/>
      <c r="G187" s="78">
        <f t="shared" si="20"/>
        <v>0</v>
      </c>
      <c r="H187" s="39">
        <f t="shared" si="23"/>
        <v>0</v>
      </c>
      <c r="I187" s="23"/>
      <c r="J187" s="89">
        <f t="shared" si="19"/>
        <v>0</v>
      </c>
      <c r="K187" s="89">
        <f t="shared" si="18"/>
        <v>0</v>
      </c>
      <c r="L187" s="89">
        <f t="shared" si="21"/>
        <v>0</v>
      </c>
      <c r="M187" s="23"/>
      <c r="N187" s="89">
        <f t="shared" si="16"/>
        <v>0</v>
      </c>
      <c r="O187" s="227">
        <f t="shared" si="22"/>
        <v>0</v>
      </c>
      <c r="P187" s="203"/>
      <c r="Q187" s="203"/>
      <c r="R187" s="225"/>
      <c r="S187" s="224"/>
    </row>
    <row r="188" spans="1:19" ht="15.75" hidden="1" x14ac:dyDescent="0.25">
      <c r="A188" s="118"/>
      <c r="B188" s="50"/>
      <c r="C188" s="33" t="s">
        <v>221</v>
      </c>
      <c r="D188" s="55"/>
      <c r="E188" s="52"/>
      <c r="F188" s="52"/>
      <c r="G188" s="78">
        <f t="shared" si="20"/>
        <v>0</v>
      </c>
      <c r="H188" s="39">
        <f t="shared" si="23"/>
        <v>0</v>
      </c>
      <c r="I188" s="23"/>
      <c r="J188" s="89">
        <f t="shared" si="19"/>
        <v>0</v>
      </c>
      <c r="K188" s="89">
        <f t="shared" si="18"/>
        <v>0</v>
      </c>
      <c r="L188" s="89">
        <f t="shared" si="21"/>
        <v>0</v>
      </c>
      <c r="M188" s="23"/>
      <c r="N188" s="89">
        <f t="shared" si="16"/>
        <v>0</v>
      </c>
      <c r="O188" s="227">
        <f t="shared" si="22"/>
        <v>0</v>
      </c>
      <c r="P188" s="203"/>
      <c r="Q188" s="203"/>
      <c r="R188" s="225"/>
      <c r="S188" s="224"/>
    </row>
    <row r="189" spans="1:19" ht="12" customHeight="1" x14ac:dyDescent="0.25">
      <c r="A189" s="118"/>
      <c r="B189" s="50"/>
      <c r="C189" s="33" t="s">
        <v>222</v>
      </c>
      <c r="D189" s="55"/>
      <c r="E189" s="52"/>
      <c r="F189" s="52">
        <v>1387504.5</v>
      </c>
      <c r="G189" s="78">
        <f t="shared" si="20"/>
        <v>1387504.5</v>
      </c>
      <c r="H189" s="39">
        <f t="shared" si="23"/>
        <v>2775009</v>
      </c>
      <c r="I189" s="23"/>
      <c r="J189" s="89"/>
      <c r="K189" s="89"/>
      <c r="L189" s="89">
        <f t="shared" si="21"/>
        <v>1387504.5</v>
      </c>
      <c r="M189" s="23">
        <v>2775009</v>
      </c>
      <c r="N189" s="89">
        <f t="shared" si="16"/>
        <v>0</v>
      </c>
      <c r="O189" s="227">
        <f t="shared" si="22"/>
        <v>4700000</v>
      </c>
      <c r="P189" s="203">
        <v>2775009</v>
      </c>
      <c r="Q189" s="203"/>
      <c r="R189" s="225">
        <v>4700000</v>
      </c>
      <c r="S189" s="224"/>
    </row>
    <row r="190" spans="1:19" ht="12.75" customHeight="1" x14ac:dyDescent="0.25">
      <c r="A190" s="119"/>
      <c r="B190" s="51"/>
      <c r="C190" s="232" t="s">
        <v>669</v>
      </c>
      <c r="D190" s="56" t="s">
        <v>583</v>
      </c>
      <c r="E190" s="53"/>
      <c r="F190" s="53">
        <v>1810000</v>
      </c>
      <c r="G190" s="53">
        <v>0</v>
      </c>
      <c r="H190" s="39">
        <f t="shared" si="23"/>
        <v>1810000</v>
      </c>
      <c r="I190" s="23">
        <f>4678063.15-1903054.15</f>
        <v>2775009.0000000005</v>
      </c>
      <c r="J190" s="89">
        <f t="shared" si="19"/>
        <v>965009.00000000047</v>
      </c>
      <c r="K190" s="89">
        <f t="shared" si="18"/>
        <v>965009.00000000047</v>
      </c>
      <c r="L190" s="89">
        <f t="shared" si="21"/>
        <v>0</v>
      </c>
      <c r="M190" s="23">
        <v>1810000</v>
      </c>
      <c r="N190" s="89">
        <f t="shared" si="16"/>
        <v>0</v>
      </c>
      <c r="O190" s="227">
        <f t="shared" si="22"/>
        <v>2200000</v>
      </c>
      <c r="P190" s="203"/>
      <c r="Q190" s="203"/>
      <c r="R190" s="225">
        <v>2200000</v>
      </c>
      <c r="S190" s="224"/>
    </row>
    <row r="191" spans="1:19" ht="16.5" thickBot="1" x14ac:dyDescent="0.3">
      <c r="A191" s="150"/>
      <c r="B191" s="151"/>
      <c r="C191" s="152" t="s">
        <v>223</v>
      </c>
      <c r="D191" s="153"/>
      <c r="E191" s="154">
        <f>SUM(E165:E190)</f>
        <v>0</v>
      </c>
      <c r="F191" s="140">
        <f>SUM(F165:F190)</f>
        <v>9953866.0800000001</v>
      </c>
      <c r="G191" s="140">
        <f>SUM(G165:G190)</f>
        <v>8158876.9300000006</v>
      </c>
      <c r="H191" s="242">
        <f>SUM(H165:H190)</f>
        <v>18112743.010000002</v>
      </c>
      <c r="I191" s="228">
        <f>SUM(I165:I190)</f>
        <v>15006488.76</v>
      </c>
      <c r="J191" s="229">
        <f>1035000-I191</f>
        <v>-13971488.76</v>
      </c>
      <c r="K191" s="228"/>
      <c r="L191" s="228"/>
      <c r="M191" s="228"/>
      <c r="N191" s="228"/>
      <c r="O191" s="238">
        <f>SUM(O165:O190)</f>
        <v>18205000</v>
      </c>
      <c r="P191" s="209">
        <f>SUM(P165:P190)</f>
        <v>16250558.460000001</v>
      </c>
      <c r="Q191" s="203"/>
      <c r="R191" s="225"/>
      <c r="S191" s="224"/>
    </row>
    <row r="192" spans="1:19" ht="16.5" thickBot="1" x14ac:dyDescent="0.3">
      <c r="A192" s="120" t="s">
        <v>224</v>
      </c>
      <c r="B192" s="120"/>
      <c r="C192" s="26"/>
      <c r="D192" s="27"/>
      <c r="E192" s="28">
        <f>E163+E87+E191</f>
        <v>66934320.339999996</v>
      </c>
      <c r="F192" s="28">
        <f>F163+F87+F191</f>
        <v>44014921.289999999</v>
      </c>
      <c r="G192" s="28">
        <f>G163+G87+G191</f>
        <v>41544103.174999997</v>
      </c>
      <c r="H192" s="243">
        <f>H191+H163+H87</f>
        <v>85559024.465000004</v>
      </c>
      <c r="I192" s="173">
        <f>I191+I163+I87</f>
        <v>59182699.579999998</v>
      </c>
      <c r="J192" s="172"/>
      <c r="K192" s="172"/>
      <c r="L192" s="173">
        <f>F192+G192</f>
        <v>85559024.465000004</v>
      </c>
      <c r="M192" s="173">
        <f>SUM(M65:M191)</f>
        <v>58241616.239999995</v>
      </c>
      <c r="N192" s="172"/>
      <c r="O192" s="239">
        <f>O191+O163+O87</f>
        <v>90647474</v>
      </c>
      <c r="P192" s="207">
        <f>P191+P163+P87</f>
        <v>85178775.055000007</v>
      </c>
      <c r="Q192" s="203"/>
      <c r="R192" s="225"/>
      <c r="S192" s="224"/>
    </row>
    <row r="193" spans="1:19" ht="16.5" thickBot="1" x14ac:dyDescent="0.3">
      <c r="A193" s="120" t="s">
        <v>80</v>
      </c>
      <c r="B193" s="26"/>
      <c r="C193" s="26"/>
      <c r="D193" s="26"/>
      <c r="E193" s="244">
        <f>E61-E192</f>
        <v>3174977.590000011</v>
      </c>
      <c r="F193" s="244">
        <f>F61-F192</f>
        <v>922038.76000001281</v>
      </c>
      <c r="G193" s="244"/>
      <c r="H193" s="244"/>
      <c r="I193" s="173" t="e">
        <f>F191-#REF!</f>
        <v>#REF!</v>
      </c>
      <c r="J193" s="172"/>
      <c r="K193" s="172"/>
      <c r="L193" s="172"/>
      <c r="M193" s="172"/>
      <c r="N193" s="172"/>
      <c r="O193" s="245"/>
      <c r="P193" s="207">
        <f>P192-H192</f>
        <v>-380249.40999999642</v>
      </c>
      <c r="Q193" s="203"/>
      <c r="R193" s="225"/>
      <c r="S193" s="224"/>
    </row>
    <row r="194" spans="1:19" ht="15.75" x14ac:dyDescent="0.25">
      <c r="A194" s="377" t="s">
        <v>652</v>
      </c>
      <c r="B194" s="377"/>
      <c r="C194" s="377"/>
      <c r="D194" s="377"/>
      <c r="E194" s="377"/>
      <c r="F194" s="377"/>
      <c r="G194" s="377"/>
      <c r="H194" s="377"/>
      <c r="I194" s="377"/>
      <c r="J194" s="377"/>
      <c r="K194" s="377"/>
      <c r="L194" s="377"/>
      <c r="M194" s="377"/>
      <c r="N194" s="377"/>
      <c r="O194" s="377"/>
      <c r="P194" s="217"/>
      <c r="Q194" s="217"/>
      <c r="R194" s="226"/>
      <c r="S194" s="224"/>
    </row>
    <row r="195" spans="1:19" ht="15" customHeight="1" x14ac:dyDescent="0.25">
      <c r="A195" s="377"/>
      <c r="B195" s="377"/>
      <c r="C195" s="377"/>
      <c r="D195" s="377"/>
      <c r="E195" s="377"/>
      <c r="F195" s="377"/>
      <c r="G195" s="377"/>
      <c r="H195" s="377"/>
      <c r="I195" s="377"/>
      <c r="J195" s="377"/>
      <c r="K195" s="377"/>
      <c r="L195" s="377"/>
      <c r="M195" s="377"/>
      <c r="N195" s="377"/>
      <c r="O195" s="377"/>
      <c r="P195" s="217"/>
      <c r="Q195" s="217"/>
      <c r="R195" s="226"/>
      <c r="S195" s="224"/>
    </row>
    <row r="196" spans="1:19" ht="9" customHeight="1" x14ac:dyDescent="0.25">
      <c r="A196" s="216"/>
      <c r="B196" s="216"/>
      <c r="C196" s="216"/>
      <c r="D196" s="216"/>
      <c r="E196" s="216"/>
      <c r="F196" s="216"/>
      <c r="G196" s="216"/>
      <c r="H196" s="216"/>
      <c r="I196" s="216">
        <v>38173787.439999998</v>
      </c>
      <c r="J196" s="216" t="s">
        <v>365</v>
      </c>
      <c r="K196" s="216"/>
      <c r="L196" s="216"/>
      <c r="M196" s="216"/>
      <c r="N196" s="216"/>
      <c r="O196" s="216"/>
      <c r="P196" s="218" t="e">
        <f>P189-#REF!</f>
        <v>#REF!</v>
      </c>
      <c r="Q196" s="217"/>
      <c r="R196" s="226"/>
      <c r="S196" s="224"/>
    </row>
    <row r="197" spans="1:19" ht="9" customHeight="1" x14ac:dyDescent="0.25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8"/>
      <c r="Q197" s="217"/>
      <c r="R197" s="226"/>
      <c r="S197" s="234"/>
    </row>
    <row r="198" spans="1:19" ht="9" customHeight="1" x14ac:dyDescent="0.25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8"/>
      <c r="Q198" s="217"/>
      <c r="R198" s="226"/>
      <c r="S198" s="234"/>
    </row>
    <row r="199" spans="1:19" ht="9" customHeight="1" x14ac:dyDescent="0.25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8"/>
      <c r="Q199" s="217"/>
      <c r="R199" s="226"/>
      <c r="S199" s="234"/>
    </row>
    <row r="200" spans="1:19" ht="9" customHeight="1" x14ac:dyDescent="0.25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8"/>
      <c r="Q200" s="217"/>
      <c r="R200" s="226"/>
      <c r="S200" s="234"/>
    </row>
    <row r="201" spans="1:19" ht="9" customHeight="1" x14ac:dyDescent="0.25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8"/>
      <c r="Q201" s="217"/>
      <c r="R201" s="226"/>
      <c r="S201" s="234"/>
    </row>
    <row r="202" spans="1:19" ht="15.75" x14ac:dyDescent="0.25">
      <c r="A202" s="216" t="s">
        <v>659</v>
      </c>
      <c r="B202" s="216"/>
      <c r="C202" s="219"/>
      <c r="D202" s="216"/>
      <c r="E202" s="365" t="s">
        <v>656</v>
      </c>
      <c r="F202" s="365"/>
      <c r="G202" s="365" t="s">
        <v>662</v>
      </c>
      <c r="H202" s="365"/>
      <c r="I202" s="365"/>
      <c r="J202" s="365"/>
      <c r="K202" s="365"/>
      <c r="L202" s="365"/>
      <c r="M202" s="365"/>
      <c r="N202" s="365"/>
      <c r="O202" s="365"/>
      <c r="P202" s="217"/>
      <c r="Q202" s="217"/>
      <c r="R202" s="226"/>
      <c r="S202" s="224"/>
    </row>
    <row r="203" spans="1:19" ht="15.75" x14ac:dyDescent="0.25">
      <c r="A203" s="216" t="s">
        <v>660</v>
      </c>
      <c r="B203" s="216"/>
      <c r="C203" s="216"/>
      <c r="D203" s="216"/>
      <c r="E203" s="378" t="s">
        <v>657</v>
      </c>
      <c r="F203" s="378"/>
      <c r="G203" s="378"/>
      <c r="H203" s="366" t="s">
        <v>658</v>
      </c>
      <c r="I203" s="366"/>
      <c r="J203" s="366"/>
      <c r="K203" s="366"/>
      <c r="L203" s="366"/>
      <c r="M203" s="366"/>
      <c r="N203" s="366"/>
      <c r="O203" s="366"/>
      <c r="P203" s="217">
        <f>2775009*2</f>
        <v>5550018</v>
      </c>
      <c r="Q203" s="217"/>
      <c r="R203" s="226"/>
      <c r="S203" s="224"/>
    </row>
    <row r="204" spans="1:19" ht="15.75" x14ac:dyDescent="0.25">
      <c r="A204" s="216"/>
      <c r="B204" s="216"/>
      <c r="C204" s="216"/>
      <c r="D204" s="216"/>
      <c r="E204" s="247"/>
      <c r="F204" s="247"/>
      <c r="G204" s="247"/>
      <c r="H204" s="246"/>
      <c r="I204" s="246"/>
      <c r="J204" s="246"/>
      <c r="K204" s="246"/>
      <c r="L204" s="246"/>
      <c r="M204" s="246"/>
      <c r="N204" s="246"/>
      <c r="O204" s="246"/>
      <c r="P204" s="217"/>
      <c r="Q204" s="217"/>
      <c r="R204" s="226"/>
      <c r="S204" s="234"/>
    </row>
    <row r="205" spans="1:19" ht="18" customHeight="1" x14ac:dyDescent="0.25">
      <c r="A205" s="220" t="s">
        <v>651</v>
      </c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26"/>
      <c r="S205" s="224"/>
    </row>
    <row r="206" spans="1:19" ht="15.75" x14ac:dyDescent="0.25">
      <c r="A206" s="365" t="s">
        <v>653</v>
      </c>
      <c r="B206" s="365"/>
      <c r="C206" s="365"/>
      <c r="D206" s="365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26"/>
      <c r="S206" s="224"/>
    </row>
    <row r="207" spans="1:19" ht="15.75" x14ac:dyDescent="0.25">
      <c r="A207" s="366" t="s">
        <v>654</v>
      </c>
      <c r="B207" s="366"/>
      <c r="C207" s="366"/>
      <c r="D207" s="366"/>
      <c r="E207" s="221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26"/>
      <c r="S207" s="224"/>
    </row>
    <row r="208" spans="1:19" ht="15.75" x14ac:dyDescent="0.25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26"/>
      <c r="S208" s="224"/>
    </row>
    <row r="209" spans="1:19" ht="15.75" x14ac:dyDescent="0.25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26"/>
      <c r="S209" s="224"/>
    </row>
    <row r="210" spans="1:19" ht="15.75" x14ac:dyDescent="0.25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26"/>
      <c r="S210" s="224"/>
    </row>
    <row r="211" spans="1:19" ht="15.75" x14ac:dyDescent="0.25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26"/>
    </row>
  </sheetData>
  <sheetProtection password="8B65" sheet="1" objects="1" scenarios="1" selectLockedCells="1" selectUnlockedCells="1"/>
  <mergeCells count="10">
    <mergeCell ref="A206:D206"/>
    <mergeCell ref="A207:D207"/>
    <mergeCell ref="F4:H4"/>
    <mergeCell ref="E202:F202"/>
    <mergeCell ref="G202:O202"/>
    <mergeCell ref="A3:O3"/>
    <mergeCell ref="A4:C7"/>
    <mergeCell ref="A194:O195"/>
    <mergeCell ref="H203:O203"/>
    <mergeCell ref="E203:G203"/>
  </mergeCells>
  <pageMargins left="2" right="0.75" top="1" bottom="0.25" header="0.3" footer="0.3"/>
  <pageSetup paperSize="5" scale="95" orientation="landscape" horizontalDpi="4294967294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SRE-REPORT-MUN</vt:lpstr>
      <vt:lpstr>SRE-REPORT-BRGY</vt:lpstr>
      <vt:lpstr>SUMM-EXP</vt:lpstr>
      <vt:lpstr>LDF</vt:lpstr>
      <vt:lpstr>DRRMC</vt:lpstr>
      <vt:lpstr>CHILDPROTECT</vt:lpstr>
      <vt:lpstr>expense</vt:lpstr>
      <vt:lpstr>Form 1a</vt:lpstr>
      <vt:lpstr>Form 1b</vt:lpstr>
      <vt:lpstr>'Form 1b'!Print_Titles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Melvin</cp:lastModifiedBy>
  <cp:lastPrinted>2017-01-12T19:33:23Z</cp:lastPrinted>
  <dcterms:created xsi:type="dcterms:W3CDTF">2013-06-10T00:12:05Z</dcterms:created>
  <dcterms:modified xsi:type="dcterms:W3CDTF">2017-08-09T14:21:38Z</dcterms:modified>
</cp:coreProperties>
</file>